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DieseArbeitsmappe"/>
  <mc:AlternateContent xmlns:mc="http://schemas.openxmlformats.org/markup-compatibility/2006">
    <mc:Choice Requires="x15">
      <x15ac:absPath xmlns:x15ac="http://schemas.microsoft.com/office/spreadsheetml/2010/11/ac" url="Z:\HSOB\Auftrag 763 - ESF Beratungsstelle\Aufrufverfahren\2022-3\Formulare\"/>
    </mc:Choice>
  </mc:AlternateContent>
  <xr:revisionPtr revIDLastSave="0" documentId="13_ncr:1_{374FFF95-7BC6-42F8-A11E-5A9CF6274101}" xr6:coauthVersionLast="47" xr6:coauthVersionMax="47" xr10:uidLastSave="{00000000-0000-0000-0000-000000000000}"/>
  <workbookProtection workbookAlgorithmName="SHA-512" workbookHashValue="xARlqYqZbdwobIKHr5Otz/DDsVSo3ZNCJ+4zD2TMECJr5MfDBXTaMOxIzqYSnC2N8jFMK1HMKfd/0r/NlwAMGA==" workbookSaltValue="l42m5aetFp+0yE3xmMl7xQ==" workbookSpinCount="100000" lockStructure="1"/>
  <bookViews>
    <workbookView xWindow="-120" yWindow="-120" windowWidth="24630" windowHeight="12540" xr2:uid="{00000000-000D-0000-FFFF-FFFF00000000}"/>
  </bookViews>
  <sheets>
    <sheet name="Anmeldeformular2022-3" sheetId="1" r:id="rId1"/>
    <sheet name="Check" sheetId="6" r:id="rId2"/>
    <sheet name="DokuBogen" sheetId="2" state="hidden" r:id="rId3"/>
    <sheet name="DOKU_Verk" sheetId="18" state="hidden" r:id="rId4"/>
    <sheet name="Intern" sheetId="7" state="hidden" r:id="rId5"/>
    <sheet name="Auswahl" sheetId="4" state="hidden" r:id="rId6"/>
    <sheet name="HSOB" sheetId="20" state="hidden" r:id="rId7"/>
    <sheet name="GK" sheetId="3" state="hidden" r:id="rId8"/>
    <sheet name="Pachse" sheetId="15" state="hidden" r:id="rId9"/>
    <sheet name="spez.Ziel" sheetId="16" state="hidden" r:id="rId10"/>
    <sheet name="FAnsatz" sheetId="14" state="hidden" r:id="rId11"/>
    <sheet name="Plstg" sheetId="21" state="hidden" r:id="rId12"/>
    <sheet name="ZG" sheetId="11" state="hidden" r:id="rId13"/>
    <sheet name="fehl.Kofi" sheetId="22" state="hidden" r:id="rId14"/>
    <sheet name="Bedarfbest" sheetId="17" state="hidden" r:id="rId15"/>
    <sheet name="Namen" sheetId="19" state="hidden" r:id="rId16"/>
    <sheet name="Namenliste" sheetId="8" state="hidden" r:id="rId17"/>
    <sheet name="Datenbank_Ende" sheetId="9" state="hidden" r:id="rId18"/>
    <sheet name="Tabelle1" sheetId="23" state="hidden" r:id="rId19"/>
    <sheet name="Tabelle2" sheetId="24" state="hidden" r:id="rId20"/>
    <sheet name="Tabelle3" sheetId="25" state="hidden" r:id="rId21"/>
  </sheets>
  <definedNames>
    <definedName name="_xlnm._FilterDatabase" localSheetId="7" hidden="1">GK!$A$2:$B$39</definedName>
    <definedName name="aBund">'Anmeldeformular2022-3'!#REF!</definedName>
    <definedName name="abund1jahr">'Anmeldeformular2022-3'!#REF!</definedName>
    <definedName name="abund2jahr">'Anmeldeformular2022-3'!#REF!</definedName>
    <definedName name="abund3jahr">'Anmeldeformular2022-3'!#REF!</definedName>
    <definedName name="abund4jahr">'Anmeldeformular2022-3'!#REF!</definedName>
    <definedName name="abund5jahr">'Anmeldeformular2022-3'!#REF!</definedName>
    <definedName name="abundges">'Anmeldeformular2022-3'!#REF!</definedName>
    <definedName name="Akauswahl">Auswahl!$C$2</definedName>
    <definedName name="Aktion">Auswahl!$D$7</definedName>
    <definedName name="Aktionauswahl">Auswahl!$C$7</definedName>
    <definedName name="Aktionliste">spez.Ziel!$A$2:$A$7</definedName>
    <definedName name="AktionlisteGesamt">spez.Ziel!$F$2:$F$14</definedName>
    <definedName name="aktivesf">'Anmeldeformular2022-3'!#REF!</definedName>
    <definedName name="aktivkofi">'Anmeldeformular2022-3'!$L$83</definedName>
    <definedName name="andeinnahmen">'Anmeldeformular2022-3'!#REF!</definedName>
    <definedName name="andland1jahr">'Anmeldeformular2022-3'!$P$70</definedName>
    <definedName name="andland2jahr">'Anmeldeformular2022-3'!$S$70</definedName>
    <definedName name="andland3jahr">'Anmeldeformular2022-3'!$V$70</definedName>
    <definedName name="andland4jahr">'Anmeldeformular2022-3'!$Y$70</definedName>
    <definedName name="andland5jahr">'Anmeldeformular2022-3'!#REF!</definedName>
    <definedName name="andlandges">'Anmeldeformular2022-3'!$M$70</definedName>
    <definedName name="Anmeldeingang">Intern!$B$3</definedName>
    <definedName name="AnmeldeNummer">Intern!$A$3</definedName>
    <definedName name="Anspranrede">'Anmeldeformular2022-3'!$B$21</definedName>
    <definedName name="ansprmail">'Anmeldeformular2022-3'!$L$23</definedName>
    <definedName name="Ansprname">'Anmeldeformular2022-3'!$F$21</definedName>
    <definedName name="ansprtel">'Anmeldeformular2022-3'!$B$23</definedName>
    <definedName name="ansprvorname">'Anmeldeformular2022-3'!$Q$21</definedName>
    <definedName name="anteilnettoandere">'Anmeldeformular2022-3'!#REF!</definedName>
    <definedName name="Anteilnettoesf">'Anmeldeformular2022-3'!#REF!</definedName>
    <definedName name="anteilnettokofi">'Anmeldeformular2022-3'!#REF!</definedName>
    <definedName name="AZvorprojekt">'Anmeldeformular2022-3'!$AA$35</definedName>
    <definedName name="ba1jahr">'Anmeldeformular2022-3'!$P$62</definedName>
    <definedName name="ba2jahr">'Anmeldeformular2022-3'!$S$62</definedName>
    <definedName name="ba3jahr">'Anmeldeformular2022-3'!$V$62</definedName>
    <definedName name="ba4jahr">'Anmeldeformular2022-3'!$Y$74</definedName>
    <definedName name="BAges">'Anmeldeformular2022-3'!$M$62</definedName>
    <definedName name="BAinstit">'Anmeldeformular2022-3'!$H$98</definedName>
    <definedName name="Bearbeiter">Intern!#REF!</definedName>
    <definedName name="Bedarf">'Anmeldeformular2022-3'!$B$117</definedName>
    <definedName name="Bedarfbest">Bedarfbest!$A$1:$A$11</definedName>
    <definedName name="Bedarfbestauswahl">Auswahl!$C$29</definedName>
    <definedName name="Bedarfbestliste">Bedarfbest!$A$1:$A$9</definedName>
    <definedName name="Beginn">'Anmeldeformular2022-3'!$B$34</definedName>
    <definedName name="Berat">GK!#REF!</definedName>
    <definedName name="Berat1">GK!#REF!</definedName>
    <definedName name="Berat2">GK!#REF!</definedName>
    <definedName name="Beratauswahl">GK!#REF!</definedName>
    <definedName name="Beraterliste">GK!$B$1:$B$39</definedName>
    <definedName name="Beraternamen">HSOB!$A$1:$B$4</definedName>
    <definedName name="BewertungBS">Auswahl!$C$28</definedName>
    <definedName name="Bewertungspunkte">DokuBogen!$AD$57</definedName>
    <definedName name="Chancengleichheitauswahl">Auswahl!$C$15</definedName>
    <definedName name="Corona">'Anmeldeformular2022-3'!$B$139</definedName>
    <definedName name="Coronaerläuterung">'Anmeldeformular2022-3'!#REF!</definedName>
    <definedName name="Datenzeile">Intern!$A$3:$EN$3</definedName>
    <definedName name="Dokuaktionauswahl">Auswahl!$C$34</definedName>
    <definedName name="Dokufansatzauswahl">Auswahl!$C$35</definedName>
    <definedName name="DokuPauswahl">Auswahl!$C$33</definedName>
    <definedName name="_xlnm.Print_Area" localSheetId="0">'Anmeldeformular2022-3'!$A$1:$AC$162</definedName>
    <definedName name="_xlnm.Print_Area" localSheetId="1">Check!$A$1:$D$63</definedName>
    <definedName name="_xlnm.Print_Area" localSheetId="2">DokuBogen!$A$1:$AF$87</definedName>
    <definedName name="edwd">Auswahl!$D$3</definedName>
    <definedName name="edwdAuswahl">Auswahl!$C$3</definedName>
    <definedName name="eigen1jahr">'Anmeldeformular2022-3'!$P$74</definedName>
    <definedName name="eigen2jahr">'Anmeldeformular2022-3'!$S$74</definedName>
    <definedName name="eigen3jahr">'Anmeldeformular2022-3'!$V$74</definedName>
    <definedName name="eigen4jahr">'Anmeldeformular2022-3'!#REF!</definedName>
    <definedName name="eigenges">'Anmeldeformular2022-3'!$M$74</definedName>
    <definedName name="einnahmen1jahr">'Anmeldeformular2022-3'!$P$78</definedName>
    <definedName name="einnahmen2jahr">'Anmeldeformular2022-3'!$S$78</definedName>
    <definedName name="einnahmen3jahr">'Anmeldeformular2022-3'!$V$78</definedName>
    <definedName name="einnahmen4jahr">'Anmeldeformular2022-3'!#REF!</definedName>
    <definedName name="einnahmenges">'Anmeldeformular2022-3'!$M$78</definedName>
    <definedName name="Ende">'Anmeldeformular2022-3'!$F$34</definedName>
    <definedName name="entgelttn1jahr">'Anmeldeformular2022-3'!$P$76</definedName>
    <definedName name="entgelttn2jahr">'Anmeldeformular2022-3'!$S$76</definedName>
    <definedName name="entgelttn3jahr">'Anmeldeformular2022-3'!$V$76</definedName>
    <definedName name="entgelttn4jahr">'Anmeldeformular2022-3'!#REF!</definedName>
    <definedName name="entgeltTNges">'Anmeldeformular2022-3'!$M$76</definedName>
    <definedName name="Entschuldung">Auswahl!$C$21</definedName>
    <definedName name="Erfasser">Intern!#REF!</definedName>
    <definedName name="ErlaeuterungChancengl">'Anmeldeformular2022-3'!$B$153</definedName>
    <definedName name="esf1jahr">'Anmeldeformular2022-3'!$P$80</definedName>
    <definedName name="esf2jahr">'Anmeldeformular2022-3'!$S$80</definedName>
    <definedName name="esf3jahr">'Anmeldeformular2022-3'!$V$80</definedName>
    <definedName name="esf4jahr">'Anmeldeformular2022-3'!$Y$80</definedName>
    <definedName name="esfges">'Anmeldeformular2022-3'!$M$80</definedName>
    <definedName name="EuropaIch">Auswahl!$C$22</definedName>
    <definedName name="Fansatz">Auswahl!$D$8</definedName>
    <definedName name="FAnsatzAuswahlen">FAnsatz!$A$1:$S$1</definedName>
    <definedName name="Fansatzliste">FAnsatz!$A$2:$A$7</definedName>
    <definedName name="FansatzlisteGesamt">FAnsatz!$S$23:$S$31</definedName>
    <definedName name="FAnsatzlisteVersatz">Auswahl!$E$8</definedName>
    <definedName name="fehl.kofi">fehl.Kofi!$A$1:$A$3</definedName>
    <definedName name="fehl.Kofiauswahl">Auswahl!$C$37</definedName>
    <definedName name="FehlendeAngaben">Check!#REF!</definedName>
    <definedName name="Foeansatzlisteges">FAnsatz!$Q$2:$Q$20</definedName>
    <definedName name="Foeauswahl">Auswahl!$C$8</definedName>
    <definedName name="Foed1jahr">Intern!#REF!</definedName>
    <definedName name="foed2jahr">Intern!#REF!</definedName>
    <definedName name="foed3jahr">Intern!#REF!</definedName>
    <definedName name="Foedges">Intern!#REF!</definedName>
    <definedName name="FProjBeginn">Namenliste!$B$192</definedName>
    <definedName name="FristEingang">Namenliste!$B$194</definedName>
    <definedName name="GEK">Auswahl!$D$5</definedName>
    <definedName name="GKAuswahl">Auswahl!$C$5</definedName>
    <definedName name="GKListe">GK!$A$1:$B$39</definedName>
    <definedName name="HSOB">Auswahl!$E$5</definedName>
    <definedName name="Indikatorik">'Anmeldeformular2022-3'!$B$130</definedName>
    <definedName name="Inhalte">'Anmeldeformular2022-3'!$B$131</definedName>
    <definedName name="intervesf">'Anmeldeformular2022-3'!$W$83</definedName>
    <definedName name="justiz1jahr">'Anmeldeformular2022-3'!$P$67</definedName>
    <definedName name="justiz2jahr">'Anmeldeformular2022-3'!$S$67</definedName>
    <definedName name="justiz3jahr">'Anmeldeformular2022-3'!$V$67</definedName>
    <definedName name="justiz4jahr">'Anmeldeformular2022-3'!$W$67</definedName>
    <definedName name="justizges">'Anmeldeformular2022-3'!$M$67</definedName>
    <definedName name="KMU">'Anmeldeformular2022-3'!$F$56</definedName>
    <definedName name="kom1jahr">'Anmeldeformular2022-3'!$P$71</definedName>
    <definedName name="kom2jahr">'Anmeldeformular2022-3'!$S$71</definedName>
    <definedName name="kom3jahr">'Anmeldeformular2022-3'!$V$71</definedName>
    <definedName name="kom4jahr">'Anmeldeformular2022-3'!$Y$71</definedName>
    <definedName name="komges">'Anmeldeformular2022-3'!$M$71</definedName>
    <definedName name="Kontakte">'Anmeldeformular2022-3'!#REF!</definedName>
    <definedName name="Koop">'Anmeldeformular2022-3'!$B$135</definedName>
    <definedName name="Kost1jahr">'Anmeldeformular2022-3'!$P$61</definedName>
    <definedName name="Kost2jahr">'Anmeldeformular2022-3'!$S$61</definedName>
    <definedName name="Kost3jahr">'Anmeldeformular2022-3'!$V$61</definedName>
    <definedName name="kostges">'Anmeldeformular2022-3'!$M$61</definedName>
    <definedName name="Laufzeit">Auswahl!$B$31</definedName>
    <definedName name="LDKom">'Anmeldeformular2022-3'!$E$71</definedName>
    <definedName name="Ltganrede">'Anmeldeformular2022-3'!$B$18</definedName>
    <definedName name="ltgname">'Anmeldeformular2022-3'!$H$18</definedName>
    <definedName name="ltgtitel">'Anmeldeformular2022-3'!$D$18</definedName>
    <definedName name="ltgvorname">'Anmeldeformular2022-3'!$Q$18</definedName>
    <definedName name="mastd1jahr">'Anmeldeformular2022-3'!$P$63</definedName>
    <definedName name="mastd2jahr">'Anmeldeformular2022-3'!$S$63</definedName>
    <definedName name="mastd3jahr">'Anmeldeformular2022-3'!$V$63</definedName>
    <definedName name="mastdges">'Anmeldeformular2022-3'!$M$63</definedName>
    <definedName name="mb1jahr">'Anmeldeformular2022-3'!$P$64</definedName>
    <definedName name="mb2jahr">'Anmeldeformular2022-3'!$S$64</definedName>
    <definedName name="mb3jahr">'Anmeldeformular2022-3'!$V$64</definedName>
    <definedName name="mb4jahr">'Anmeldeformular2022-3'!$Y$76</definedName>
    <definedName name="mbges">'Anmeldeformular2022-3'!$M$64</definedName>
    <definedName name="Methode">'Anmeldeformular2022-3'!$B$136</definedName>
    <definedName name="mffki1jahr">'Anmeldeformular2022-3'!$P$65</definedName>
    <definedName name="mffki2jahr">'Anmeldeformular2022-3'!$S$65</definedName>
    <definedName name="mffki3jahr">'Anmeldeformular2022-3'!$V$65</definedName>
    <definedName name="mffkiges">'Anmeldeformular2022-3'!$M$65</definedName>
    <definedName name="Migrat">'Anmeldeformular2022-3'!$H$53</definedName>
    <definedName name="mkuem1jahr">'Anmeldeformular2022-3'!$P$69</definedName>
    <definedName name="mkuem2jahr">'Anmeldeformular2022-3'!$S$69</definedName>
    <definedName name="mkuem3jahr">'Anmeldeformular2022-3'!$V$69</definedName>
    <definedName name="mkuemges">'Anmeldeformular2022-3'!$M$69</definedName>
    <definedName name="mwg1jahr">'Anmeldeformular2022-3'!$P$66</definedName>
    <definedName name="mwg2jahr">'Anmeldeformular2022-3'!$S$66</definedName>
    <definedName name="mwg3jahr">'Anmeldeformular2022-3'!$V$66</definedName>
    <definedName name="mwgges">'Anmeldeformular2022-3'!$M$66</definedName>
    <definedName name="mwvlw1jahr">'Anmeldeformular2022-3'!$P$68</definedName>
    <definedName name="mwvlw2jahr">'Anmeldeformular2022-3'!$S$68</definedName>
    <definedName name="mwvlw3jahr">'Anmeldeformular2022-3'!$V$68</definedName>
    <definedName name="mwvlwges">'Anmeldeformular2022-3'!$M$68</definedName>
    <definedName name="Nachhaltigoekoauswahl">Auswahl!$C$16</definedName>
    <definedName name="Nachhaltigoekoloauswahl">Auswahl!$C$17</definedName>
    <definedName name="Nachhaltigsozialauswahl">Auswahl!$C$18</definedName>
    <definedName name="neufass">Intern!$C$3</definedName>
    <definedName name="nrvorproj">'Anmeldeformular2022-3'!$W$34</definedName>
    <definedName name="Nummer">'Anmeldeformular2022-3'!#REF!</definedName>
    <definedName name="Pachse">Auswahl!$D$6</definedName>
    <definedName name="Pachseauswahl">Auswahl!$C$6</definedName>
    <definedName name="Pachsekurz">Auswahl!$E$6</definedName>
    <definedName name="Pachseliste">Pachse!$A$2:$A$5</definedName>
    <definedName name="Persk">'Anmeldeformular2022-3'!$Z$74</definedName>
    <definedName name="Pfortschritt">'Anmeldeformular2022-3'!#REF!</definedName>
    <definedName name="PK">Auswahl!$D$11</definedName>
    <definedName name="Pkauswahl">Auswahl!$C$11</definedName>
    <definedName name="PKliste">#REF!</definedName>
    <definedName name="PkostAG">'Anmeldeformular2022-3'!$E$75</definedName>
    <definedName name="Plstg">Auswahl!$D$9</definedName>
    <definedName name="Plstgansatzliste">FAnsatz!$A$1:$S$1</definedName>
    <definedName name="Plstgansatzlisteversatz">Auswahl!$F$9</definedName>
    <definedName name="PlstgAuswahl">Auswahl!$C$9</definedName>
    <definedName name="Plstgauswahlen">Plstg!$1:$1</definedName>
    <definedName name="Plstgauswahlgesamt">Plstg!$X$2:$X$6</definedName>
    <definedName name="PLstgkurz">Auswahl!$E$9</definedName>
    <definedName name="Plstgliste">Plstg!$A$2:$A$7</definedName>
    <definedName name="PNaktivkofi">'Anmeldeformular2022-3'!#REF!</definedName>
    <definedName name="Pnrvorgaenger">'Anmeldeformular2022-3'!$P$34</definedName>
    <definedName name="Prio2auswahl">Auswahl!$C$27</definedName>
    <definedName name="Prioauswahl">Auswahl!$C$26</definedName>
    <definedName name="Projektname">Namenliste!$B$195</definedName>
    <definedName name="Projnettokosten">'Anmeldeformular2022-3'!$Z$82</definedName>
    <definedName name="Prozaktivkofi">'Anmeldeformular2022-3'!#REF!</definedName>
    <definedName name="Pstruktur">'Anmeldeformular2022-3'!$B$126</definedName>
    <definedName name="Ptitel">'Anmeldeformular2022-3'!$B$31</definedName>
    <definedName name="Quersch">'Anmeldeformular2022-3'!$B$152</definedName>
    <definedName name="regBed">'Anmeldeformular2022-3'!$B$118</definedName>
    <definedName name="sgbII1jahr">'Anmeldeformular2022-3'!$P$72</definedName>
    <definedName name="sgbII2jahr">'Anmeldeformular2022-3'!$S$72</definedName>
    <definedName name="SgbIIges">'Anmeldeformular2022-3'!$M$72</definedName>
    <definedName name="SitZG">'Anmeldeformular2022-3'!$B$123</definedName>
    <definedName name="SK">'Anmeldeformular2022-3'!$Z$75</definedName>
    <definedName name="spenden1jahr">'Anmeldeformular2022-3'!$P$79</definedName>
    <definedName name="spenden2jahr">'Anmeldeformular2022-3'!$S$79</definedName>
    <definedName name="spenden3jahr">'Anmeldeformular2022-3'!$V$79</definedName>
    <definedName name="spendenges">'Anmeldeformular2022-3'!$M$79</definedName>
    <definedName name="SProjBeginn">Namenliste!$B$193</definedName>
    <definedName name="sstgoef1jahr">'Anmeldeformular2022-3'!$P$73</definedName>
    <definedName name="sstgoef2jahr">'Anmeldeformular2022-3'!$S$73</definedName>
    <definedName name="sstgoeff3jahr">'Anmeldeformular2022-3'!$V$73</definedName>
    <definedName name="sstgoefges">'Anmeldeformular2022-3'!$M$73</definedName>
    <definedName name="Temail">'Anmeldeformular2022-3'!$L$15</definedName>
    <definedName name="teurekanr">'Anmeldeformular2022-3'!$V$25</definedName>
    <definedName name="Tfax">'Anmeldeformular2022-3'!$G$15</definedName>
    <definedName name="Tname">'Anmeldeformular2022-3'!$B$11</definedName>
    <definedName name="TNanz">'Anmeldeformular2022-3'!$F$48</definedName>
    <definedName name="TNbes">'Anmeldeformular2022-3'!$F$55</definedName>
    <definedName name="TNerhöhterBetreu">'Anmeldeformular2022-3'!#REF!</definedName>
    <definedName name="TNgeb1jahr">'Anmeldeformular2022-3'!$P$77</definedName>
    <definedName name="tngeb2jahr">'Anmeldeformular2022-3'!$S$77</definedName>
    <definedName name="tngeb3jahr">'Anmeldeformular2022-3'!$V$77</definedName>
    <definedName name="TNgebges">'Anmeldeformular2022-3'!$M$77</definedName>
    <definedName name="TNK">'Anmeldeformular2022-3'!$Z$76</definedName>
    <definedName name="TNml">'Anmeldeformular2022-3'!$F$50</definedName>
    <definedName name="TNnichtbinär">'Anmeldeformular2022-3'!$F$51</definedName>
    <definedName name="TNpl">'Anmeldeformular2022-3'!$F$47</definedName>
    <definedName name="TNrlpauswahl">Auswahl!$C$4</definedName>
    <definedName name="TNu25j">'Anmeldeformular2022-3'!$F$51</definedName>
    <definedName name="TNue25">'Anmeldeformular2022-3'!$F$52</definedName>
    <definedName name="TNue45">'Anmeldeformular2022-3'!$F$53</definedName>
    <definedName name="Tnue55">'Anmeldeformular2022-3'!$F$54</definedName>
    <definedName name="TNwbl">'Anmeldeformular2022-3'!$F$49</definedName>
    <definedName name="Tort">'Anmeldeformular2022-3'!$P$13</definedName>
    <definedName name="Tplz">'Anmeldeformular2022-3'!$L$13</definedName>
    <definedName name="Transnationalauswahl">Auswahl!$C$19</definedName>
    <definedName name="Tstraße">'Anmeldeformular2022-3'!$B$13</definedName>
    <definedName name="Ttel">'Anmeldeformular2022-3'!$B$15</definedName>
    <definedName name="Ueregion">'Anmeldeformular2022-3'!$V$36</definedName>
    <definedName name="VGK">'Anmeldeformular2022-3'!$Z$77</definedName>
    <definedName name="Z_04F5F062_CD85_4BE7_B897_A8C5C601EF7B_.wvu.PrintArea" localSheetId="2" hidden="1">DokuBogen!$A$1:$AF$87</definedName>
    <definedName name="Z_04F5F062_CD85_4BE7_B897_A8C5C601EF7B_.wvu.Rows" localSheetId="0" hidden="1">'Anmeldeformular2022-3'!$459:$65554,'Anmeldeformular2022-3'!#REF!,'Anmeldeformular2022-3'!#REF!,'Anmeldeformular2022-3'!$212:$212</definedName>
    <definedName name="Z_04F5F062_CD85_4BE7_B897_A8C5C601EF7B_.wvu.Rows" localSheetId="2" hidden="1">DokuBogen!$87:$87</definedName>
    <definedName name="Z_EEA7A97B_E2BF_43AD_B211_D284BEE221A1_.wvu.PrintArea" localSheetId="2" hidden="1">DokuBogen!$A$1:$AF$87</definedName>
    <definedName name="Z_EEA7A97B_E2BF_43AD_B211_D284BEE221A1_.wvu.Rows" localSheetId="0" hidden="1">'Anmeldeformular2022-3'!$459:$65554,'Anmeldeformular2022-3'!#REF!,'Anmeldeformular2022-3'!#REF!,'Anmeldeformular2022-3'!$212:$212</definedName>
    <definedName name="Z_EEA7A97B_E2BF_43AD_B211_D284BEE221A1_.wvu.Rows" localSheetId="2" hidden="1">DokuBogen!$87:$87</definedName>
    <definedName name="ZG">Auswahl!$D$10</definedName>
    <definedName name="ZGauswahl">Auswahl!$C$10</definedName>
    <definedName name="ZGliste">ZG!$A$1:$A$4</definedName>
    <definedName name="zielvorg">'Anmeldeformular2022-3'!$B$122</definedName>
    <definedName name="zuschussag1jahr">'Anmeldeformular2022-3'!$P$75</definedName>
    <definedName name="zuschussag2jahr">'Anmeldeformular2022-3'!$S$75</definedName>
    <definedName name="zuschussag3jahr">'Anmeldeformular2022-3'!$V$75</definedName>
    <definedName name="ZuschussAGges">'Anmeldeformular2022-3'!$M$75</definedName>
  </definedNames>
  <calcPr calcId="191029"/>
  <customWorkbookViews>
    <customWorkbookView name="Silvia.Hintz - Persönliche Ansicht" guid="{EEA7A97B-E2BF-43AD-B211-D284BEE221A1}" mergeInterval="0" personalView="1" maximized="1" windowWidth="1276" windowHeight="817" activeSheetId="1"/>
    <customWorkbookView name="FrankGorstelle - Persönliche Ansicht" guid="{04F5F062-CD85-4BE7-B897-A8C5C601EF7B}" mergeInterval="0" personalView="1" maximized="1" windowWidth="1666" windowHeight="76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6" l="1"/>
  <c r="Z66" i="1"/>
  <c r="M65" i="1"/>
  <c r="S61" i="1" l="1"/>
  <c r="B27" i="1"/>
  <c r="D22" i="6"/>
  <c r="H21" i="2"/>
  <c r="P61" i="1"/>
  <c r="M71" i="1"/>
  <c r="B107" i="1" s="1"/>
  <c r="U73" i="2"/>
  <c r="P73" i="2"/>
  <c r="K73" i="2"/>
  <c r="K72" i="2"/>
  <c r="P72" i="2"/>
  <c r="U72" i="2"/>
  <c r="U70" i="2"/>
  <c r="B6" i="6" l="1"/>
  <c r="B5" i="6"/>
  <c r="H14" i="2"/>
  <c r="P3" i="7"/>
  <c r="D43" i="6" l="1"/>
  <c r="D33" i="6"/>
  <c r="D32" i="6"/>
  <c r="D31" i="6"/>
  <c r="D30" i="6"/>
  <c r="D29" i="6"/>
  <c r="U69" i="2" l="1"/>
  <c r="U71" i="2"/>
  <c r="U68" i="2"/>
  <c r="U74" i="2" l="1"/>
  <c r="AA20" i="1"/>
  <c r="AA21" i="1"/>
  <c r="AA17" i="1"/>
  <c r="M66" i="1"/>
  <c r="D45" i="6"/>
  <c r="D44" i="6"/>
  <c r="D42" i="6"/>
  <c r="D41" i="6"/>
  <c r="D40" i="6"/>
  <c r="AA12" i="1"/>
  <c r="M69" i="1"/>
  <c r="P71" i="2"/>
  <c r="K71" i="2"/>
  <c r="M67" i="1"/>
  <c r="M68" i="1"/>
  <c r="A4" i="16"/>
  <c r="AA11" i="1"/>
  <c r="AA18" i="1"/>
  <c r="B55" i="6"/>
  <c r="M63" i="1"/>
  <c r="B99" i="1" s="1"/>
  <c r="M64" i="1"/>
  <c r="B100" i="1" s="1"/>
  <c r="M70" i="1"/>
  <c r="M72" i="1"/>
  <c r="B108" i="1" s="1"/>
  <c r="M73" i="1"/>
  <c r="B63" i="6" s="1"/>
  <c r="M74" i="1"/>
  <c r="M77" i="1"/>
  <c r="M75" i="1"/>
  <c r="B110" i="1" s="1"/>
  <c r="M79" i="1"/>
  <c r="B69" i="6" s="1"/>
  <c r="M78" i="1"/>
  <c r="M80" i="1"/>
  <c r="W64" i="2" s="1"/>
  <c r="M76" i="1"/>
  <c r="AD66" i="2" s="1"/>
  <c r="M62" i="1"/>
  <c r="H6" i="2"/>
  <c r="W12" i="2"/>
  <c r="F5" i="18"/>
  <c r="D5" i="18"/>
  <c r="K69" i="2"/>
  <c r="F6" i="18"/>
  <c r="D6" i="18"/>
  <c r="J6" i="18"/>
  <c r="O6" i="18"/>
  <c r="J5" i="18"/>
  <c r="O5" i="18"/>
  <c r="H6" i="18"/>
  <c r="H5" i="18"/>
  <c r="E13" i="18"/>
  <c r="D14" i="18"/>
  <c r="D13" i="18"/>
  <c r="C14" i="18"/>
  <c r="B14" i="18"/>
  <c r="B13" i="18"/>
  <c r="C13" i="18"/>
  <c r="P69" i="2"/>
  <c r="W10" i="2"/>
  <c r="AD10" i="2"/>
  <c r="P70" i="2"/>
  <c r="K70" i="2"/>
  <c r="P68" i="2"/>
  <c r="X3" i="2"/>
  <c r="U3" i="2"/>
  <c r="AC36" i="2"/>
  <c r="J34" i="2"/>
  <c r="E8" i="4"/>
  <c r="A4" i="14" s="1"/>
  <c r="M6" i="18"/>
  <c r="A2" i="16"/>
  <c r="A3" i="16"/>
  <c r="A5" i="16"/>
  <c r="A6" i="16"/>
  <c r="A7" i="16"/>
  <c r="D2" i="4"/>
  <c r="D3" i="4"/>
  <c r="D4" i="4"/>
  <c r="E6" i="4"/>
  <c r="F9" i="4"/>
  <c r="A3" i="21" s="1"/>
  <c r="D15" i="4"/>
  <c r="D16" i="4"/>
  <c r="D17" i="4"/>
  <c r="D18" i="4"/>
  <c r="D19" i="4"/>
  <c r="D21" i="4"/>
  <c r="D22" i="4"/>
  <c r="B31" i="4"/>
  <c r="B4" i="6"/>
  <c r="D4" i="6"/>
  <c r="D5" i="6"/>
  <c r="D6" i="6"/>
  <c r="B7" i="6"/>
  <c r="B8" i="6"/>
  <c r="D8" i="6"/>
  <c r="B9" i="6"/>
  <c r="D10" i="6"/>
  <c r="B12" i="6"/>
  <c r="B13" i="6"/>
  <c r="B14" i="6"/>
  <c r="B16" i="6"/>
  <c r="D16" i="6"/>
  <c r="B17" i="6"/>
  <c r="B18" i="6"/>
  <c r="D18" i="6"/>
  <c r="B19" i="6"/>
  <c r="D19" i="6"/>
  <c r="B20" i="6"/>
  <c r="D20" i="6"/>
  <c r="D21" i="6"/>
  <c r="B22" i="6"/>
  <c r="D38" i="6"/>
  <c r="D39" i="6"/>
  <c r="C59" i="6"/>
  <c r="C60" i="6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N2" i="9"/>
  <c r="AO2" i="9"/>
  <c r="AP2" i="9"/>
  <c r="AQ2" i="9"/>
  <c r="AR2" i="9"/>
  <c r="AS2" i="9"/>
  <c r="AT2" i="9"/>
  <c r="AU2" i="9"/>
  <c r="AZ2" i="9"/>
  <c r="BA2" i="9"/>
  <c r="BB2" i="9"/>
  <c r="BC2" i="9"/>
  <c r="B5" i="18"/>
  <c r="M5" i="18"/>
  <c r="Q5" i="18"/>
  <c r="T5" i="18"/>
  <c r="T8" i="18" s="1"/>
  <c r="B6" i="18"/>
  <c r="Q6" i="18"/>
  <c r="B7" i="18"/>
  <c r="D7" i="18"/>
  <c r="F7" i="18"/>
  <c r="H7" i="18"/>
  <c r="J7" i="18"/>
  <c r="M7" i="18"/>
  <c r="O7" i="18"/>
  <c r="Q7" i="18"/>
  <c r="A13" i="18"/>
  <c r="F13" i="18"/>
  <c r="G13" i="18"/>
  <c r="G16" i="18" s="1"/>
  <c r="H13" i="18"/>
  <c r="J13" i="18"/>
  <c r="J16" i="18" s="1"/>
  <c r="AD56" i="2" s="1"/>
  <c r="A14" i="18"/>
  <c r="E14" i="18"/>
  <c r="F14" i="18"/>
  <c r="G14" i="18"/>
  <c r="H14" i="18"/>
  <c r="A15" i="18"/>
  <c r="B15" i="18"/>
  <c r="C15" i="18"/>
  <c r="D15" i="18"/>
  <c r="E15" i="18"/>
  <c r="F15" i="18"/>
  <c r="G15" i="18"/>
  <c r="H15" i="18"/>
  <c r="D19" i="18"/>
  <c r="D20" i="18"/>
  <c r="D21" i="18"/>
  <c r="H5" i="2"/>
  <c r="H7" i="2"/>
  <c r="R7" i="2"/>
  <c r="H9" i="2"/>
  <c r="H10" i="2"/>
  <c r="P10" i="2"/>
  <c r="AD12" i="2"/>
  <c r="H13" i="2"/>
  <c r="T21" i="2"/>
  <c r="AC41" i="2"/>
  <c r="D44" i="2"/>
  <c r="A13" i="14"/>
  <c r="AE1" i="2"/>
  <c r="A2" i="9" s="1"/>
  <c r="V44" i="2"/>
  <c r="I20" i="2"/>
  <c r="AC4" i="2"/>
  <c r="B2" i="9" s="1"/>
  <c r="B16" i="18"/>
  <c r="AD51" i="2" s="1"/>
  <c r="AM2" i="9"/>
  <c r="AK2" i="9"/>
  <c r="D7" i="4"/>
  <c r="B65" i="6" l="1"/>
  <c r="B30" i="6"/>
  <c r="B98" i="1"/>
  <c r="AY2" i="9"/>
  <c r="B43" i="6"/>
  <c r="B103" i="1"/>
  <c r="B33" i="6"/>
  <c r="B32" i="6"/>
  <c r="B31" i="6"/>
  <c r="E70" i="2"/>
  <c r="H12" i="2"/>
  <c r="B53" i="6"/>
  <c r="B106" i="1"/>
  <c r="B49" i="6"/>
  <c r="B105" i="1"/>
  <c r="B47" i="6"/>
  <c r="B104" i="1"/>
  <c r="B102" i="1"/>
  <c r="E73" i="2"/>
  <c r="B37" i="6"/>
  <c r="B101" i="1"/>
  <c r="E72" i="2"/>
  <c r="O8" i="18"/>
  <c r="H16" i="18"/>
  <c r="C16" i="18"/>
  <c r="AD52" i="2" s="1"/>
  <c r="D8" i="18"/>
  <c r="U51" i="2" s="1"/>
  <c r="M8" i="18"/>
  <c r="B68" i="6"/>
  <c r="AV2" i="9"/>
  <c r="AW2" i="9"/>
  <c r="B36" i="6"/>
  <c r="E16" i="18"/>
  <c r="AD54" i="2" s="1"/>
  <c r="J8" i="18"/>
  <c r="U54" i="2" s="1"/>
  <c r="F8" i="18"/>
  <c r="U52" i="2" s="1"/>
  <c r="B57" i="6"/>
  <c r="D16" i="18"/>
  <c r="AD53" i="2" s="1"/>
  <c r="H8" i="18"/>
  <c r="U53" i="2" s="1"/>
  <c r="F16" i="18"/>
  <c r="A16" i="18"/>
  <c r="AD50" i="2" s="1"/>
  <c r="B8" i="18"/>
  <c r="U50" i="2" s="1"/>
  <c r="AX2" i="9"/>
  <c r="B52" i="6"/>
  <c r="G66" i="2"/>
  <c r="A2" i="21"/>
  <c r="A5" i="21"/>
  <c r="A4" i="21"/>
  <c r="A7" i="21"/>
  <c r="A6" i="21"/>
  <c r="A7" i="14"/>
  <c r="A5" i="14"/>
  <c r="A3" i="14"/>
  <c r="A2" i="14"/>
  <c r="A6" i="14"/>
  <c r="AL2" i="9"/>
  <c r="E69" i="2"/>
  <c r="E71" i="2"/>
  <c r="B66" i="6"/>
  <c r="Q66" i="2"/>
  <c r="P74" i="2"/>
  <c r="B39" i="6"/>
  <c r="B111" i="1"/>
  <c r="B54" i="6"/>
  <c r="B59" i="6"/>
  <c r="B46" i="6"/>
  <c r="B45" i="6"/>
  <c r="B42" i="6"/>
  <c r="K68" i="2"/>
  <c r="K74" i="2" s="1"/>
  <c r="B38" i="6"/>
  <c r="B48" i="6"/>
  <c r="B34" i="6"/>
  <c r="B44" i="6"/>
  <c r="B67" i="6"/>
  <c r="B56" i="6"/>
  <c r="B28" i="6"/>
  <c r="B35" i="6"/>
  <c r="M61" i="1"/>
  <c r="AC72" i="2" s="1"/>
  <c r="B109" i="1"/>
  <c r="B29" i="6"/>
  <c r="B41" i="6"/>
  <c r="B50" i="6"/>
  <c r="B61" i="6"/>
  <c r="B62" i="6"/>
  <c r="B26" i="6"/>
  <c r="B84" i="1"/>
  <c r="B40" i="6"/>
  <c r="B51" i="6"/>
  <c r="B64" i="6"/>
  <c r="AD64" i="2"/>
  <c r="G64" i="2"/>
  <c r="R76" i="2"/>
  <c r="Q8" i="18"/>
  <c r="B60" i="6"/>
  <c r="B58" i="6"/>
  <c r="W66" i="2"/>
  <c r="Q64" i="2"/>
  <c r="AC71" i="2" l="1"/>
  <c r="AC70" i="2"/>
  <c r="AC73" i="2"/>
  <c r="AD63" i="2"/>
  <c r="E74" i="2"/>
  <c r="AC74" i="2" s="1"/>
  <c r="AD55" i="2"/>
  <c r="AD57" i="2" s="1"/>
  <c r="AC33" i="2" s="1"/>
  <c r="AC69" i="2"/>
  <c r="R77" i="2"/>
  <c r="W83" i="1"/>
  <c r="Q63" i="2"/>
  <c r="E68" i="2"/>
  <c r="L82" i="1"/>
  <c r="H76" i="2"/>
  <c r="B25" i="6"/>
  <c r="G63" i="2"/>
  <c r="AJ2" i="9"/>
  <c r="W63" i="2"/>
  <c r="L83" i="1"/>
  <c r="O83" i="1" l="1"/>
  <c r="AD65" i="2"/>
  <c r="Q65" i="2"/>
  <c r="G65" i="2"/>
  <c r="W65" i="2"/>
  <c r="M76" i="2"/>
  <c r="M77" i="2"/>
  <c r="E16" i="2" l="1"/>
  <c r="D13" i="6"/>
  <c r="DF3" i="7"/>
  <c r="BG3" i="7"/>
  <c r="DY3" i="7"/>
  <c r="M3" i="7"/>
  <c r="EI3" i="7"/>
  <c r="AM3" i="7"/>
  <c r="T3" i="7"/>
  <c r="AK3" i="7"/>
  <c r="EJ3" i="7"/>
  <c r="D35" i="4"/>
  <c r="DO3" i="7"/>
  <c r="DA3" i="7"/>
  <c r="DD3" i="7"/>
  <c r="BA3" i="7"/>
  <c r="Y3" i="7"/>
  <c r="BM3" i="7"/>
  <c r="EM3" i="7"/>
  <c r="AJ3" i="7"/>
  <c r="EE3" i="7"/>
  <c r="S3" i="7"/>
  <c r="CT3" i="7"/>
  <c r="DE3" i="7"/>
  <c r="DK3" i="7"/>
  <c r="O3" i="7"/>
  <c r="DX3" i="7"/>
  <c r="CE3" i="7"/>
  <c r="BK3" i="7"/>
  <c r="EC3" i="7"/>
  <c r="W3" i="7"/>
  <c r="BQ3" i="7"/>
  <c r="D10" i="4"/>
  <c r="CB3" i="7"/>
  <c r="CF3" i="7"/>
  <c r="BH3" i="7"/>
  <c r="DS3" i="7"/>
  <c r="D34" i="4"/>
  <c r="CV3" i="7"/>
  <c r="V3" i="7"/>
  <c r="AE3" i="7"/>
  <c r="BP3" i="7"/>
  <c r="BL3" i="7"/>
  <c r="BF3" i="7"/>
  <c r="AV3" i="7"/>
  <c r="DN3" i="7"/>
  <c r="D29" i="4"/>
  <c r="AQ3" i="7"/>
  <c r="CL3" i="7"/>
  <c r="L3" i="7"/>
  <c r="AA3" i="7"/>
  <c r="BU3" i="7"/>
  <c r="AC3" i="7"/>
  <c r="BW3" i="7"/>
  <c r="AB3" i="7"/>
  <c r="D8" i="4"/>
  <c r="AL3" i="7"/>
  <c r="N3" i="7"/>
  <c r="DZ3" i="7"/>
  <c r="K3" i="7"/>
  <c r="DP3" i="7"/>
  <c r="U3" i="7"/>
  <c r="EO3" i="7"/>
  <c r="Z3" i="7"/>
  <c r="E5" i="4"/>
  <c r="DJ3" i="7"/>
  <c r="EN3" i="7"/>
  <c r="D33" i="4"/>
  <c r="DU3" i="7"/>
  <c r="AX3" i="7"/>
  <c r="BV3" i="7"/>
  <c r="CZ3" i="7"/>
  <c r="D6" i="4"/>
  <c r="ED3" i="7"/>
  <c r="BB3" i="7"/>
  <c r="CA3" i="7"/>
  <c r="CJ3" i="7"/>
  <c r="BZ3" i="7"/>
  <c r="CU3" i="7"/>
  <c r="CO3" i="7"/>
  <c r="BC3" i="7"/>
  <c r="CQ3" i="7"/>
  <c r="AR3" i="7"/>
  <c r="DT3" i="7"/>
  <c r="AO3" i="7"/>
  <c r="J3" i="7"/>
  <c r="AD3" i="7"/>
  <c r="D9" i="4"/>
  <c r="R3" i="7"/>
  <c r="Q3" i="7"/>
  <c r="AS3" i="7"/>
  <c r="DI3" i="7"/>
  <c r="CY3" i="7"/>
  <c r="D5" i="4"/>
  <c r="CK3" i="7"/>
  <c r="CP3" i="7"/>
  <c r="EH3" i="7"/>
  <c r="CG3" i="7"/>
  <c r="BR3" i="7"/>
  <c r="X3" i="7"/>
  <c r="AW3" i="7"/>
  <c r="AI3" i="7"/>
  <c r="V36" i="1" l="1"/>
  <c r="W11" i="2"/>
  <c r="L46" i="2"/>
  <c r="U16" i="2"/>
  <c r="E9" i="4"/>
  <c r="U15" i="2"/>
  <c r="D14" i="6"/>
  <c r="H11" i="2"/>
  <c r="U37" i="1"/>
  <c r="AG3" i="7"/>
  <c r="AN3" i="7"/>
  <c r="AF3" i="7"/>
  <c r="AH3" i="7"/>
  <c r="AP3" i="7"/>
  <c r="P14" i="2" l="1"/>
  <c r="K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Hintz, Silvia</author>
  </authors>
  <commentList>
    <comment ref="V25" authorId="0" shapeId="0" xr:uid="{AA4FB2E6-E82B-4EF2-ABA3-C4E28E7A83D8}">
      <text>
        <r>
          <rPr>
            <b/>
            <sz val="9"/>
            <color indexed="81"/>
            <rFont val="Segoe UI"/>
            <family val="2"/>
          </rPr>
          <t>Wenn Sie bereits Projekte im ESF+ durchführen, geben Sie bitte hier Ihre Begünstigtennummer aus EurekaRLP Plus an!</t>
        </r>
      </text>
    </comment>
    <comment ref="Z63" authorId="0" shapeId="0" xr:uid="{F38F9C18-CC35-4085-92F5-92C61BB66221}">
      <text>
        <r>
          <rPr>
            <b/>
            <sz val="9"/>
            <color indexed="81"/>
            <rFont val="Segoe UI"/>
            <family val="2"/>
          </rPr>
          <t xml:space="preserve">Die Angaben im Kostenplan sind verpflichtend! </t>
        </r>
      </text>
    </comment>
    <comment ref="Z65" authorId="0" shapeId="0" xr:uid="{1AAA8749-B1FF-457C-A8D2-696DEC2501DF}">
      <text>
        <r>
          <rPr>
            <sz val="9"/>
            <color indexed="81"/>
            <rFont val="Segoe UI"/>
            <family val="2"/>
          </rPr>
          <t>Bitte beachten Sie, dass Verwaltungskosten nur bis zur Höhe von 15% der förderfähigen Personalkosten ansetzbar sind.</t>
        </r>
      </text>
    </comment>
    <comment ref="A88" authorId="0" shapeId="0" xr:uid="{53F9CA77-C9F0-430E-AC37-32B37FB5FCD5}">
      <text>
        <r>
          <rPr>
            <b/>
            <sz val="9"/>
            <color indexed="81"/>
            <rFont val="Segoe UI"/>
            <family val="2"/>
          </rPr>
          <t>Personalstellen mit der selben Funktion bitte in einer Zeile zusammenfassen.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9" authorId="0" shapeId="0" xr:uid="{83177B6A-699C-4E63-AB35-67C22009B762}">
      <text>
        <r>
          <rPr>
            <sz val="10"/>
            <color indexed="81"/>
            <rFont val="Segoe UI"/>
            <family val="2"/>
          </rPr>
          <t>Nach aktuellem Kenntnisstand ist davon auszugehen, dass die Präsenz von Teilnehmenden und Beschäftigten in den Projekten auch im Jahr 2022 gewissen Einschränkungen aufgrund der Corona-Pandemie unterliegen wird. Bitte legen Sie hier dar, wie die Projektabwicklung alternativ zu einer vollständigen Präsenz sichergestellt wird. 
Leitfragen: 
- Wie sehen Alternativen zu Präsenzangeboten aus?
- Wie wird die Vermittlung von Projektinhalten in diesen Phasen sichergestellt?
- Wie wird die Rückkehr in den regulären Geschäftsbetrieb gestaltet?
- Welche Maßnahmen werden ergriffen? 
- Wie erfolgt die Dokumentation der alternativen Angebote/ Projektmodule?
- Wie wird die Einhaltung von Anordnungen, Empfehlungen oder Hinweisen staatlicher Stellen im Pandemiefall sichergestellt und dokumentiert?</t>
        </r>
      </text>
    </comment>
  </commentList>
</comments>
</file>

<file path=xl/sharedStrings.xml><?xml version="1.0" encoding="utf-8"?>
<sst xmlns="http://schemas.openxmlformats.org/spreadsheetml/2006/main" count="1650" uniqueCount="993">
  <si>
    <t>sstgeu1jahr</t>
  </si>
  <si>
    <t>sstgeu2jahr</t>
  </si>
  <si>
    <t>sstgeu3jahr</t>
  </si>
  <si>
    <t>sstgeuges</t>
  </si>
  <si>
    <t>sstgoef1jahr</t>
  </si>
  <si>
    <t>=Anmeldeformular2012!$P$67</t>
  </si>
  <si>
    <t>sstgoef2jahr</t>
  </si>
  <si>
    <t>sstgoef3jahr</t>
  </si>
  <si>
    <t>=Anmeldeformular2012!$V$67</t>
  </si>
  <si>
    <t>sstgoefges</t>
  </si>
  <si>
    <t>=Anmeldeformular2012!$M$67</t>
  </si>
  <si>
    <t>=Anmeldeformular2012!$L$15</t>
  </si>
  <si>
    <t>=Anmeldeformular2012!$G$15</t>
  </si>
  <si>
    <t>=Anmeldeformular2012!$B$11</t>
  </si>
  <si>
    <t>=Anmeldeformular2012!$F$50</t>
  </si>
  <si>
    <t>=Anmeldeformular2012!$P$69</t>
  </si>
  <si>
    <t>tngeb2jahr</t>
  </si>
  <si>
    <t>tngeb3jahr</t>
  </si>
  <si>
    <t>=Anmeldeformular2012!$V$69</t>
  </si>
  <si>
    <t>TNgebges</t>
  </si>
  <si>
    <t>=Anmeldeformular2012!$M$69</t>
  </si>
  <si>
    <t>=Anmeldeformular2012!$F$49</t>
  </si>
  <si>
    <t>TNrlpauswahl</t>
  </si>
  <si>
    <t>=Anmeldeformular2012!$P$13</t>
  </si>
  <si>
    <t>=Anmeldeformular2012!$L$13</t>
  </si>
  <si>
    <t>=Anmeldeformular2012!$B$13</t>
  </si>
  <si>
    <t>=Anmeldeformular2012!$B$15</t>
  </si>
  <si>
    <t>=Auswahl!$D$10</t>
  </si>
  <si>
    <t>=ZG!$A$1:$A$11</t>
  </si>
  <si>
    <t>=Anmeldeformular2012!$M$70</t>
  </si>
  <si>
    <t>zuschussag1jahr</t>
  </si>
  <si>
    <t>=Anmeldeformular2012!$P$70</t>
  </si>
  <si>
    <t>zuschussag2jahr</t>
  </si>
  <si>
    <t>zuschussag3jahr</t>
  </si>
  <si>
    <t>=Anmeldeformular2012!$V$70</t>
  </si>
  <si>
    <t>siehe Erläuterung im Feld "Anmerkung Beratung"</t>
  </si>
  <si>
    <t>Summe</t>
  </si>
  <si>
    <t>Gesamtpunkte:</t>
  </si>
  <si>
    <t>Empfehlung Beratung:</t>
  </si>
  <si>
    <t>PLZ</t>
  </si>
  <si>
    <t>Ort</t>
  </si>
  <si>
    <t>Fax</t>
  </si>
  <si>
    <t>Laufzeit</t>
  </si>
  <si>
    <t>Durchführung</t>
  </si>
  <si>
    <t>davon männlich</t>
  </si>
  <si>
    <t>davon weiblich</t>
  </si>
  <si>
    <t>Name</t>
  </si>
  <si>
    <t>Zielgruppe</t>
  </si>
  <si>
    <t>Anrede</t>
  </si>
  <si>
    <t>Tel.</t>
  </si>
  <si>
    <t>E-Mail</t>
  </si>
  <si>
    <t>ed, wd</t>
  </si>
  <si>
    <t>Beginn</t>
  </si>
  <si>
    <t>Ende</t>
  </si>
  <si>
    <t>Stdt. Pirmasens</t>
  </si>
  <si>
    <t>Lkr. Cochem-Zell</t>
  </si>
  <si>
    <t>Lkr. Neuwied</t>
  </si>
  <si>
    <t>Stdt. Trier</t>
  </si>
  <si>
    <t>Lkr. Bernkastel-Wittlich</t>
  </si>
  <si>
    <t>Lkr. Bitburg-Prüm</t>
  </si>
  <si>
    <t>Lkr. Trier-Saarburg</t>
  </si>
  <si>
    <t>Stdt. Kaiserslautern</t>
  </si>
  <si>
    <t>Stdt. Speyer</t>
  </si>
  <si>
    <t>Stdt. Worms</t>
  </si>
  <si>
    <t>Lkr. Alzey-Worms</t>
  </si>
  <si>
    <t>Lkr. Bad Dürkheim</t>
  </si>
  <si>
    <t>Lkr. Kaiserslautern</t>
  </si>
  <si>
    <t>Lkr. Kusel</t>
  </si>
  <si>
    <t>Lkr. Mainz-Bingen</t>
  </si>
  <si>
    <t>Lkr. Mayen-Koblenz</t>
  </si>
  <si>
    <t>Stdt. Koblenz</t>
  </si>
  <si>
    <t>Lkr. Südwestpfalz</t>
  </si>
  <si>
    <t xml:space="preserve">Anz. TN </t>
  </si>
  <si>
    <t>TN        m</t>
  </si>
  <si>
    <t>TN
w</t>
  </si>
  <si>
    <t>Kreis d. Durchführ.</t>
  </si>
  <si>
    <t>Gesamt</t>
  </si>
  <si>
    <t>Gesamtsumme</t>
  </si>
  <si>
    <t>Lkr. Ahrweiler</t>
  </si>
  <si>
    <t>Lkr. Bad Kreuznach</t>
  </si>
  <si>
    <t>Lkr. Birkenfeld</t>
  </si>
  <si>
    <t>Lkr. Germersheim</t>
  </si>
  <si>
    <t>Lkr. Donnersbergkreis</t>
  </si>
  <si>
    <t>Lkr. Südliche Weinstraße</t>
  </si>
  <si>
    <t>Lkr. Westerwaldkreis</t>
  </si>
  <si>
    <t>Stdt. Landau in der Pfalz</t>
  </si>
  <si>
    <t>Stdt. Ludwigshafen am Rhein</t>
  </si>
  <si>
    <t>Stdt. Zweibrücken</t>
  </si>
  <si>
    <t>Stdt. Neustadt/W.</t>
  </si>
  <si>
    <t>Träger</t>
  </si>
  <si>
    <t>Konzept</t>
  </si>
  <si>
    <t>Stdt. Mainz</t>
  </si>
  <si>
    <t>Prio</t>
  </si>
  <si>
    <t>Straße</t>
  </si>
  <si>
    <t>bis      25 J.</t>
  </si>
  <si>
    <t>über 25 J.</t>
  </si>
  <si>
    <t>Hauptziel-gruppen</t>
  </si>
  <si>
    <t>lfd. Nr</t>
  </si>
  <si>
    <t>Vorname</t>
  </si>
  <si>
    <t>Finanzierungsplan</t>
  </si>
  <si>
    <t>Vermittlung</t>
  </si>
  <si>
    <t>Berufsorientierung</t>
  </si>
  <si>
    <t>2011</t>
  </si>
  <si>
    <t>2012</t>
  </si>
  <si>
    <t>SH</t>
  </si>
  <si>
    <t>Lkr. Altenkirchen</t>
  </si>
  <si>
    <t>Rhein-Pfalz-Kreis</t>
  </si>
  <si>
    <t>Rhein-Hunsrück-Kreis</t>
  </si>
  <si>
    <t>Rhein-Lahn-Kreis</t>
  </si>
  <si>
    <t>Stdt. Frankenthal</t>
  </si>
  <si>
    <t>Prio-Achse</t>
  </si>
  <si>
    <t>2010</t>
  </si>
  <si>
    <t>Landkreis/Stadt der Durchführung</t>
  </si>
  <si>
    <t>lfd Nr</t>
  </si>
  <si>
    <t>Name:</t>
  </si>
  <si>
    <t xml:space="preserve">Ansprechpartner/in: </t>
  </si>
  <si>
    <t>Kontakt:</t>
  </si>
  <si>
    <t xml:space="preserve">Tel.: </t>
  </si>
  <si>
    <t xml:space="preserve">E-Mail: </t>
  </si>
  <si>
    <t>Titel:</t>
  </si>
  <si>
    <t>Laufzeit:</t>
  </si>
  <si>
    <t>Beginn:</t>
  </si>
  <si>
    <t>Ende:</t>
  </si>
  <si>
    <t xml:space="preserve">Durchführungsort: </t>
  </si>
  <si>
    <t>aus RLP:</t>
  </si>
  <si>
    <t xml:space="preserve">geplante Fördermittel: </t>
  </si>
  <si>
    <t xml:space="preserve">Zielgruppe: </t>
  </si>
  <si>
    <t>Beginndatum korrekt:</t>
  </si>
  <si>
    <t xml:space="preserve">ja: </t>
  </si>
  <si>
    <t xml:space="preserve">nein: </t>
  </si>
  <si>
    <t>ja:</t>
  </si>
  <si>
    <t>nein:</t>
  </si>
  <si>
    <t>Träger:</t>
  </si>
  <si>
    <t>entspricht dem Aufruf:</t>
  </si>
  <si>
    <t>(Regionaler) Bedarf:</t>
  </si>
  <si>
    <t>Gesamtbewertung:</t>
  </si>
  <si>
    <t>nachbessern</t>
  </si>
  <si>
    <t>Verketten</t>
  </si>
  <si>
    <t>Programmlinie explizit nicht im Aufruf</t>
  </si>
  <si>
    <t>nicht förderfähig im Sinne der AMP in RLP</t>
  </si>
  <si>
    <t>durch (regionalen) Kooperationspartner bestätigt</t>
  </si>
  <si>
    <t>Teilnehmende</t>
  </si>
  <si>
    <t>TN -Migration</t>
  </si>
  <si>
    <t>Herrn</t>
  </si>
  <si>
    <t>am</t>
  </si>
  <si>
    <t xml:space="preserve">Sie haben im Finanzierungsplan folgende </t>
  </si>
  <si>
    <t>Konzept - Ranking - Punkte</t>
  </si>
  <si>
    <t>Begründung bei "nein"</t>
  </si>
  <si>
    <t>nicht erfüllt</t>
  </si>
  <si>
    <t>Querschnittsziele</t>
  </si>
  <si>
    <t>RB</t>
  </si>
  <si>
    <t xml:space="preserve">lfd. Nr. </t>
  </si>
  <si>
    <t>Dokumentationsbogen</t>
  </si>
  <si>
    <t>Kosten- gesamt</t>
  </si>
  <si>
    <t>Kofi- gesamt</t>
  </si>
  <si>
    <t>Förderung- gesamt</t>
  </si>
  <si>
    <t>Gesamtkosten</t>
  </si>
  <si>
    <t>alle Angaben in Euro</t>
  </si>
  <si>
    <t>je Monat</t>
  </si>
  <si>
    <t>je TN</t>
  </si>
  <si>
    <t>je TN/M</t>
  </si>
  <si>
    <t>ja</t>
  </si>
  <si>
    <t>Rahmenbedingungen</t>
  </si>
  <si>
    <t>Punkte</t>
  </si>
  <si>
    <t>Korr. Prio-Achse</t>
  </si>
  <si>
    <t>Eingang</t>
  </si>
  <si>
    <t>HSOB</t>
  </si>
  <si>
    <t>Titel</t>
  </si>
  <si>
    <t xml:space="preserve">Ansprechperson zu diesem Projekt: </t>
  </si>
  <si>
    <t>ESF-Mittel gesamt</t>
  </si>
  <si>
    <t>MASGFF gesamt</t>
  </si>
  <si>
    <t>Angemeldetes Projekt:</t>
  </si>
  <si>
    <t>Projektdaten lt. Anmeldung:</t>
  </si>
  <si>
    <t>Kann das Projekt zur Antragstellung empfohlen werden?</t>
  </si>
  <si>
    <t>Projekttitel</t>
  </si>
  <si>
    <t>Aktion</t>
  </si>
  <si>
    <t>FÖ-An.</t>
  </si>
  <si>
    <t>Korr. Aktion</t>
  </si>
  <si>
    <t>Über 45</t>
  </si>
  <si>
    <t>Fördersummen:</t>
  </si>
  <si>
    <t>gesamt</t>
  </si>
  <si>
    <t xml:space="preserve">
</t>
  </si>
  <si>
    <t>Zielgruppe lt. Aufruf</t>
  </si>
  <si>
    <t>Aktive Kofi</t>
  </si>
  <si>
    <t xml:space="preserve">Bewertung durch das Auswahlgremium am: </t>
  </si>
  <si>
    <t>Die Entscheidung des Auswahlgremiums ist</t>
  </si>
  <si>
    <t>Gesamtfinanzierung wegen fehlender nationaler Kofinanzierungsmittel nicht sicher gestellt.</t>
  </si>
  <si>
    <t>Inhalte</t>
  </si>
  <si>
    <t>Projektstruktur</t>
  </si>
  <si>
    <t>Kontakte/ Kooperationen</t>
  </si>
  <si>
    <t>Besonderes Merkmal</t>
  </si>
  <si>
    <t>Vorgelegte Beschreibung bzgl.</t>
  </si>
  <si>
    <t>Anmerkung Beratung</t>
  </si>
  <si>
    <t>Projektbewertung:</t>
  </si>
  <si>
    <t xml:space="preserve">   </t>
  </si>
  <si>
    <t xml:space="preserve">erfüllt </t>
  </si>
  <si>
    <t>keine Angaben</t>
  </si>
  <si>
    <t>Chancengleichheit, keine Anzeichen von Diskriminierung:</t>
  </si>
  <si>
    <t xml:space="preserve">Nachhaltigkeit  </t>
  </si>
  <si>
    <t>Kontakte</t>
  </si>
  <si>
    <t>bes.Merkmal</t>
  </si>
  <si>
    <t>P-fortschritt</t>
  </si>
  <si>
    <t>(Sehr) gut</t>
  </si>
  <si>
    <t>unzureichend erhebl.Defizite</t>
  </si>
  <si>
    <t>Gute Ansätze, aber ungenau</t>
  </si>
  <si>
    <t>Messung Fortschritt u. Egebniskontrolle</t>
  </si>
  <si>
    <t>tel.</t>
  </si>
  <si>
    <t>Plätze/gesamt</t>
  </si>
  <si>
    <t>Bundesagentur für Arbeit</t>
  </si>
  <si>
    <t>sonstige öffentliche Mittel</t>
  </si>
  <si>
    <t>Eigenmittel Träger</t>
  </si>
  <si>
    <t>Teilnehmendengebühren</t>
  </si>
  <si>
    <t>Institution</t>
  </si>
  <si>
    <t>Transnationalität</t>
  </si>
  <si>
    <t>Erfasser</t>
  </si>
  <si>
    <t>AnmeldeNummer</t>
  </si>
  <si>
    <t>EurekaRLPnummer</t>
  </si>
  <si>
    <t>Berater</t>
  </si>
  <si>
    <t>GeK</t>
  </si>
  <si>
    <t>Migrat</t>
  </si>
  <si>
    <t>ESF1Jahr</t>
  </si>
  <si>
    <t>Esf2Jahr</t>
  </si>
  <si>
    <t>Angaben zur Leitung</t>
  </si>
  <si>
    <t>Akkreditierung</t>
  </si>
  <si>
    <t>AZvorprojekt</t>
  </si>
  <si>
    <t>ESFges</t>
  </si>
  <si>
    <t>A</t>
  </si>
  <si>
    <t>Angaben zum Projekt</t>
  </si>
  <si>
    <t>B</t>
  </si>
  <si>
    <t>C</t>
  </si>
  <si>
    <t>D</t>
  </si>
  <si>
    <t>Projektkonzept</t>
  </si>
  <si>
    <t>findet Beachtung</t>
  </si>
  <si>
    <t>findet keine Beachtung</t>
  </si>
  <si>
    <t>=Anmeldeformular2012!$S$71</t>
  </si>
  <si>
    <t>=Intern!$B$3</t>
  </si>
  <si>
    <t>=Intern!$C$3</t>
  </si>
  <si>
    <t>Bearbeiter</t>
  </si>
  <si>
    <t>=Intern!#BEZUG!</t>
  </si>
  <si>
    <t>eigen1jahr</t>
  </si>
  <si>
    <t>eigen2jahr</t>
  </si>
  <si>
    <t>=Anmeldeformular2012!$S$69</t>
  </si>
  <si>
    <t>eigen3jahr</t>
  </si>
  <si>
    <t>=Anmeldeformular2012!$S$72</t>
  </si>
  <si>
    <t>=Intern!$A$3</t>
  </si>
  <si>
    <t>FehlendeAngaben</t>
  </si>
  <si>
    <t>=Check!$C$1</t>
  </si>
  <si>
    <t>kopass1jahr</t>
  </si>
  <si>
    <t>kopass2jahr</t>
  </si>
  <si>
    <t>kopass3jahr</t>
  </si>
  <si>
    <t>kopassGesamt</t>
  </si>
  <si>
    <t>=Anmeldeformular2012!$S$65</t>
  </si>
  <si>
    <t>ltgname</t>
  </si>
  <si>
    <t>ltgvorname</t>
  </si>
  <si>
    <t>Nummer</t>
  </si>
  <si>
    <t>PNaktivkofi</t>
  </si>
  <si>
    <t>=Anmeldeformular2012!$S$66</t>
  </si>
  <si>
    <t>=Anmeldeformular2012!$S$73</t>
  </si>
  <si>
    <t>=Anmeldeformular2012!$S$67</t>
  </si>
  <si>
    <t>TNgeb1jahr</t>
  </si>
  <si>
    <t>=Anmeldeformular2012!$S$70</t>
  </si>
  <si>
    <t>Ttel</t>
  </si>
  <si>
    <t>AKAuswahl</t>
  </si>
  <si>
    <t xml:space="preserve"> Querschnittsziele</t>
  </si>
  <si>
    <t>Soziale Dimension:</t>
  </si>
  <si>
    <t xml:space="preserve">Ökonomische Dimension: </t>
  </si>
  <si>
    <t>Ökologische Dimension:</t>
  </si>
  <si>
    <t>edwdAuswahl</t>
  </si>
  <si>
    <t xml:space="preserve">Fax </t>
  </si>
  <si>
    <t>Anzahl/ gesamt</t>
  </si>
  <si>
    <t>Tname</t>
  </si>
  <si>
    <t>Teurekanr</t>
  </si>
  <si>
    <t>Ptitel</t>
  </si>
  <si>
    <t>Tstraße</t>
  </si>
  <si>
    <t>Tplz</t>
  </si>
  <si>
    <t>Tort</t>
  </si>
  <si>
    <t>Ltganrede</t>
  </si>
  <si>
    <t>Tfax</t>
  </si>
  <si>
    <t>TNwbl</t>
  </si>
  <si>
    <t>TNml</t>
  </si>
  <si>
    <t>TNu25</t>
  </si>
  <si>
    <t>TNue25</t>
  </si>
  <si>
    <t>FAnsatzListe</t>
  </si>
  <si>
    <t>PAchseAuswahl1</t>
  </si>
  <si>
    <t>PAchseAuswahl2</t>
  </si>
  <si>
    <t>PAchseAuswahl3</t>
  </si>
  <si>
    <t>PAchseAuswahl4</t>
  </si>
  <si>
    <t>Bitte erst Prioritätsachse auswählen</t>
  </si>
  <si>
    <t>PAchseListe</t>
  </si>
  <si>
    <t>AktionListe</t>
  </si>
  <si>
    <t>Typ</t>
  </si>
  <si>
    <t>Auswahl</t>
  </si>
  <si>
    <t>Wert</t>
  </si>
  <si>
    <t>Gkliste</t>
  </si>
  <si>
    <t>Pachseliste</t>
  </si>
  <si>
    <t>Aktionliste</t>
  </si>
  <si>
    <t>Plstgliste</t>
  </si>
  <si>
    <t>Zgliste</t>
  </si>
  <si>
    <t>keine Relevanz</t>
  </si>
  <si>
    <t>Pachseauswahl</t>
  </si>
  <si>
    <t>Aktionauswahl</t>
  </si>
  <si>
    <t>Pkauswahl</t>
  </si>
  <si>
    <t>aBund</t>
  </si>
  <si>
    <t>Akauswahl</t>
  </si>
  <si>
    <t>=Auswahl!$C$2</t>
  </si>
  <si>
    <t>=Auswahl!$C$6</t>
  </si>
  <si>
    <t>=Aktion!$A$2:$A$6</t>
  </si>
  <si>
    <t>Anspranrede</t>
  </si>
  <si>
    <t>ansprmail</t>
  </si>
  <si>
    <t>Ansprname</t>
  </si>
  <si>
    <t>ansprvorname</t>
  </si>
  <si>
    <t>=Anmeldeformular2012!$AA$35</t>
  </si>
  <si>
    <t>=Anmeldeformular2012!$B$34</t>
  </si>
  <si>
    <t>=Auswahl!$C$3</t>
  </si>
  <si>
    <t>=Anmeldeformular2012!$F$34</t>
  </si>
  <si>
    <t>=Auswahl!$C$7</t>
  </si>
  <si>
    <t>GKAuswahl</t>
  </si>
  <si>
    <t>=Auswahl!$C$4</t>
  </si>
  <si>
    <t>GKListe</t>
  </si>
  <si>
    <t>=GK!$A$1:$A$38</t>
  </si>
  <si>
    <t>=Anmeldeformular2012!$V$64</t>
  </si>
  <si>
    <t>LDKom</t>
  </si>
  <si>
    <t>=Auswahl!$C$5</t>
  </si>
  <si>
    <t>=Pachse!$A$2:$A$5</t>
  </si>
  <si>
    <t>=Auswahl!$C$11</t>
  </si>
  <si>
    <t>PKliste</t>
  </si>
  <si>
    <t>=PK!$A$1:$A$3</t>
  </si>
  <si>
    <t>PkostAG</t>
  </si>
  <si>
    <t>PlstgAuswahl</t>
  </si>
  <si>
    <t>=Auswahl!$C$8</t>
  </si>
  <si>
    <t>PlstgListe</t>
  </si>
  <si>
    <t>=Plstg!$A$1:$A$14</t>
  </si>
  <si>
    <t>=Anmeldeformular2012!$P$34</t>
  </si>
  <si>
    <t>=Anmeldeformular2012!$B$31</t>
  </si>
  <si>
    <t>=Auswahl!$C$10</t>
  </si>
  <si>
    <t>=Anmeldeformular2012!$S$68</t>
  </si>
  <si>
    <t>=Anmeldeformular2012!$S$74</t>
  </si>
  <si>
    <t>Temail</t>
  </si>
  <si>
    <t>TNanz</t>
  </si>
  <si>
    <t>=Anmeldeformular2012!$F$52</t>
  </si>
  <si>
    <t>TNbes</t>
  </si>
  <si>
    <t>=Anmeldeformular2012!$F$54</t>
  </si>
  <si>
    <t>TNpl</t>
  </si>
  <si>
    <t>=Anmeldeformular2012!$F$51</t>
  </si>
  <si>
    <t>=Anmeldeformular2012!$F$55</t>
  </si>
  <si>
    <t>=Anmeldeformular2012!$F$56</t>
  </si>
  <si>
    <t>TNue45</t>
  </si>
  <si>
    <t>=Anmeldeformular2012!$F$53</t>
  </si>
  <si>
    <t>ZGauswahl</t>
  </si>
  <si>
    <t>=Auswahl!$C$9</t>
  </si>
  <si>
    <t>ZGliste</t>
  </si>
  <si>
    <t>Fansatzliste</t>
  </si>
  <si>
    <t>Option</t>
  </si>
  <si>
    <t>Liste</t>
  </si>
  <si>
    <t>Tnpl</t>
  </si>
  <si>
    <t>Tnanz</t>
  </si>
  <si>
    <t>GEK</t>
  </si>
  <si>
    <t>Fansatz</t>
  </si>
  <si>
    <t>öffentliche Mittel</t>
  </si>
  <si>
    <t>Chancengleichheitauswahl</t>
  </si>
  <si>
    <t>Nachhaltigoekoloauswahl</t>
  </si>
  <si>
    <t>nachhaltigsozialauswahl</t>
  </si>
  <si>
    <t>Transnationalauswahl</t>
  </si>
  <si>
    <t>Nachhaltigoekoauswahl</t>
  </si>
  <si>
    <t>Kostges</t>
  </si>
  <si>
    <t>Kost1Jahr</t>
  </si>
  <si>
    <t>Kost2Jahr</t>
  </si>
  <si>
    <t>Ansprechperson zum Projekt</t>
  </si>
  <si>
    <t>Anzahl gesamt</t>
  </si>
  <si>
    <t>Plätze gesamt</t>
  </si>
  <si>
    <t>aktivkofi</t>
  </si>
  <si>
    <t>aktivesf</t>
  </si>
  <si>
    <t>aktivmsagd</t>
  </si>
  <si>
    <t>Pnrvorgaenger</t>
  </si>
  <si>
    <t>ZG</t>
  </si>
  <si>
    <t>Plstg</t>
  </si>
  <si>
    <t>lfd.Nr.</t>
  </si>
  <si>
    <t>TNRLPauswahl</t>
  </si>
  <si>
    <t>Maßn.z.Entschuldung</t>
  </si>
  <si>
    <t>Europa und Ich</t>
  </si>
  <si>
    <t>Dokubogen</t>
  </si>
  <si>
    <t>Prioauswahl</t>
  </si>
  <si>
    <t>Kofinanzierungen</t>
  </si>
  <si>
    <r>
      <t>Kofinanzierung angegeben</t>
    </r>
    <r>
      <rPr>
        <sz val="8"/>
        <rFont val="Arial"/>
        <family val="2"/>
      </rPr>
      <t>:</t>
    </r>
  </si>
  <si>
    <t xml:space="preserve">Mit wem haben Sie wegen der Kofinanzierung gesprochen? </t>
  </si>
  <si>
    <t>Maßnahmen zum Thema wirtschaftliche Lebensführung werden ergriffen.</t>
  </si>
  <si>
    <t>Fristgerechter Eingang:</t>
  </si>
  <si>
    <t xml:space="preserve">Die Anmeldung wird zurückgestellt:  </t>
  </si>
  <si>
    <t>Prio2auswahl</t>
  </si>
  <si>
    <t>Punkte:</t>
  </si>
  <si>
    <t xml:space="preserve">Konzeptbewertung (Übertrag v. Seite 2): </t>
  </si>
  <si>
    <t>Bewertung BS</t>
  </si>
  <si>
    <t>Finanzierungsdaten</t>
  </si>
  <si>
    <t xml:space="preserve">     bestätigt durch</t>
  </si>
  <si>
    <t>Bedarfbest</t>
  </si>
  <si>
    <t>vorhanden:</t>
  </si>
  <si>
    <t xml:space="preserve">Bewertung vorgenommen von  </t>
  </si>
  <si>
    <t>=Anmeldeformular2012!$E$63</t>
  </si>
  <si>
    <t>abund1jahr</t>
  </si>
  <si>
    <t>=Anmeldeformular2012!$P$63</t>
  </si>
  <si>
    <t>abund2jahr</t>
  </si>
  <si>
    <t>=Anmeldeformular2012!$S$63</t>
  </si>
  <si>
    <t>abund3jahr</t>
  </si>
  <si>
    <t>=Anmeldeformular2012!$V$63</t>
  </si>
  <si>
    <t>abundges</t>
  </si>
  <si>
    <t>=Anmeldeformular2012!$M$63</t>
  </si>
  <si>
    <t>=Auswahl!$D$7</t>
  </si>
  <si>
    <t>=Anmeldeformular2012!$AC$80</t>
  </si>
  <si>
    <t>=Anmeldeformular2012!$AC$79</t>
  </si>
  <si>
    <t>=Anmeldeformular2012!$AC$81</t>
  </si>
  <si>
    <t>=Anmeldeformular2012!$B$21</t>
  </si>
  <si>
    <t>=Anmeldeformular2012!$L$23</t>
  </si>
  <si>
    <t>=Anmeldeformular2012!$F$21</t>
  </si>
  <si>
    <t>ansprtel</t>
  </si>
  <si>
    <t>=Anmeldeformular2012!$B$23</t>
  </si>
  <si>
    <t>=Anmeldeformular2012!$Q$21</t>
  </si>
  <si>
    <t>Ba1jahr</t>
  </si>
  <si>
    <t>=Anmeldeformular2012!$P$62</t>
  </si>
  <si>
    <t>ba2jahr</t>
  </si>
  <si>
    <t>=Anmeldeformular2012!$S$62</t>
  </si>
  <si>
    <t>ba3jahr</t>
  </si>
  <si>
    <t>=Anmeldeformular2012!$V$62</t>
  </si>
  <si>
    <t>BAges</t>
  </si>
  <si>
    <t>=Anmeldeformular2012!$M$62</t>
  </si>
  <si>
    <t>Bedarfbestauswahl</t>
  </si>
  <si>
    <t>Bedarfbestliste</t>
  </si>
  <si>
    <t>BewertungBS</t>
  </si>
  <si>
    <t>=Auswahl!$C$29</t>
  </si>
  <si>
    <t>Bewertungspunkte</t>
  </si>
  <si>
    <t>=Auswahl!$C$16</t>
  </si>
  <si>
    <t>=Anmeldeformular2012!$P$68</t>
  </si>
  <si>
    <t>=Anmeldeformular2012!$V$68</t>
  </si>
  <si>
    <t>eigenges</t>
  </si>
  <si>
    <t>=Anmeldeformular2012!$M$68</t>
  </si>
  <si>
    <t>=Anmeldeformular2012!$AA$15</t>
  </si>
  <si>
    <t>einnahmen1jahr</t>
  </si>
  <si>
    <t>=Anmeldeformular2012!$P$73</t>
  </si>
  <si>
    <t>einnahmen2jahr</t>
  </si>
  <si>
    <t>einnahmen3jahr</t>
  </si>
  <si>
    <t>=Anmeldeformular2012!$V$73</t>
  </si>
  <si>
    <t>einnahmenges</t>
  </si>
  <si>
    <t>=Anmeldeformular2012!$M$73</t>
  </si>
  <si>
    <t>entgelttn1jahr</t>
  </si>
  <si>
    <t>=Anmeldeformular2012!$P$71</t>
  </si>
  <si>
    <t>entgelttn2jahr</t>
  </si>
  <si>
    <t>entgelttn3jahr</t>
  </si>
  <si>
    <t>=Anmeldeformular2012!$V$71</t>
  </si>
  <si>
    <t>entgeltTNges</t>
  </si>
  <si>
    <t>=Anmeldeformular2012!$M$71</t>
  </si>
  <si>
    <t>Entschuldung</t>
  </si>
  <si>
    <t>=Auswahl!$C$22</t>
  </si>
  <si>
    <t>esf1jahr</t>
  </si>
  <si>
    <t>=Anmeldeformular2012!$P$74</t>
  </si>
  <si>
    <t>esf2jahr</t>
  </si>
  <si>
    <t>esf3jahr</t>
  </si>
  <si>
    <t>=Anmeldeformular2012!$V$74</t>
  </si>
  <si>
    <t>esfges</t>
  </si>
  <si>
    <t>=Anmeldeformular2012!$M$74</t>
  </si>
  <si>
    <t>EuropaIch</t>
  </si>
  <si>
    <t>=Auswahl!$D$8</t>
  </si>
  <si>
    <t>=FAnsatz!$A$2:$A$12</t>
  </si>
  <si>
    <t>Foeauswahl</t>
  </si>
  <si>
    <t>Foed1jahr</t>
  </si>
  <si>
    <t>=Intern!$AY$3</t>
  </si>
  <si>
    <t>foed2jahr</t>
  </si>
  <si>
    <t>=Intern!$AZ$3</t>
  </si>
  <si>
    <t>foed3jahr</t>
  </si>
  <si>
    <t>=Intern!$BA$3</t>
  </si>
  <si>
    <t>Foedges</t>
  </si>
  <si>
    <t>=Intern!$AX$3</t>
  </si>
  <si>
    <t>=Auswahl!$D$5</t>
  </si>
  <si>
    <t>=Anmeldeformular2012!#BEZUG!</t>
  </si>
  <si>
    <t>intervesf</t>
  </si>
  <si>
    <t>=Anmeldeformular2012!$AC$74</t>
  </si>
  <si>
    <t>intervmsagd</t>
  </si>
  <si>
    <t>=Anmeldeformular2012!$AC$73</t>
  </si>
  <si>
    <t>=Anmeldeformular2012!$L$80</t>
  </si>
  <si>
    <t>kofi1jahr</t>
  </si>
  <si>
    <t>=Intern!$BC$3</t>
  </si>
  <si>
    <t>kofi2jahr</t>
  </si>
  <si>
    <t>=Intern!$BD$3</t>
  </si>
  <si>
    <t>kofi3jahr</t>
  </si>
  <si>
    <t>kofiges</t>
  </si>
  <si>
    <t>=Intern!$BB$3</t>
  </si>
  <si>
    <t>kofigesamt</t>
  </si>
  <si>
    <t>=Anmeldeformular2012!$K$79</t>
  </si>
  <si>
    <t>=Anmeldeformular2012!$L$81</t>
  </si>
  <si>
    <t>Kost1jahr</t>
  </si>
  <si>
    <t>=Anmeldeformular2012!$P$61</t>
  </si>
  <si>
    <t>Kost2jahr</t>
  </si>
  <si>
    <t>=Anmeldeformular2012!$S$61</t>
  </si>
  <si>
    <t>Kost3jahr</t>
  </si>
  <si>
    <t>=Anmeldeformular2012!$V$61</t>
  </si>
  <si>
    <t>kostges</t>
  </si>
  <si>
    <t>=Anmeldeformular2012!$M$61</t>
  </si>
  <si>
    <t>landkom1jahr</t>
  </si>
  <si>
    <t>=Anmeldeformular2012!$P$64</t>
  </si>
  <si>
    <t>landkom2jahr</t>
  </si>
  <si>
    <t>=Anmeldeformular2012!$S$64</t>
  </si>
  <si>
    <t>landkomges</t>
  </si>
  <si>
    <t>=Anmeldeformular2012!$M$64</t>
  </si>
  <si>
    <t>lankom3jahr</t>
  </si>
  <si>
    <t>=Anmeldeformular2012!$E$64</t>
  </si>
  <si>
    <t>=Anmeldeformular2012!$B$18</t>
  </si>
  <si>
    <t>=Anmeldeformular2012!$F$18</t>
  </si>
  <si>
    <t>=Anmeldeformular2012!$Q$18</t>
  </si>
  <si>
    <t>=Anmeldeformular2012!$H$55</t>
  </si>
  <si>
    <t>msagd1jahr</t>
  </si>
  <si>
    <t>=Anmeldeformular2012!$P$65</t>
  </si>
  <si>
    <t>msagd2jahr</t>
  </si>
  <si>
    <t>msagd3jahr</t>
  </si>
  <si>
    <t>=Anmeldeformular2012!$V$65</t>
  </si>
  <si>
    <t>MSAGDges</t>
  </si>
  <si>
    <t>=Anmeldeformular2012!$M$65</t>
  </si>
  <si>
    <t>=Auswahl!$C$17</t>
  </si>
  <si>
    <t>=Auswahl!$C$18</t>
  </si>
  <si>
    <t>Nachhaltigsozialauswahl</t>
  </si>
  <si>
    <t>=Auswahl!$C$19</t>
  </si>
  <si>
    <t>=Anmeldeformular2012!$AD$10</t>
  </si>
  <si>
    <t>Pachse</t>
  </si>
  <si>
    <t>=Auswahl!$D$6</t>
  </si>
  <si>
    <t>PK</t>
  </si>
  <si>
    <t>=Anmeldeformular2012!$E$70</t>
  </si>
  <si>
    <t>=Auswahl!$D$9</t>
  </si>
  <si>
    <t>=Auswahl!$C$28</t>
  </si>
  <si>
    <t>=Auswahl!$C$27</t>
  </si>
  <si>
    <t>=Auswahl!$D$11</t>
  </si>
  <si>
    <t>sgbII1jahr</t>
  </si>
  <si>
    <t>=Anmeldeformular2012!$P$66</t>
  </si>
  <si>
    <t>sgbII2jahr</t>
  </si>
  <si>
    <t>sgbII3jahr</t>
  </si>
  <si>
    <t>=Anmeldeformular2012!$V$66</t>
  </si>
  <si>
    <t>SgbIIges</t>
  </si>
  <si>
    <t>=Anmeldeformular2012!$M$66</t>
  </si>
  <si>
    <t>spenden1jahr</t>
  </si>
  <si>
    <t>=Anmeldeformular2012!$P$72</t>
  </si>
  <si>
    <t>spenden2jahr</t>
  </si>
  <si>
    <t>spenden3jahr</t>
  </si>
  <si>
    <t>=Anmeldeformular2012!$V$72</t>
  </si>
  <si>
    <t>spendenges</t>
  </si>
  <si>
    <t>=Anmeldeformular2012!$M$72</t>
  </si>
  <si>
    <t>edwd</t>
  </si>
  <si>
    <t>Berat</t>
  </si>
  <si>
    <t>Beraterliste</t>
  </si>
  <si>
    <t>=GK!$B$1:$B$38</t>
  </si>
  <si>
    <t>=DokuBogen!$AD$59</t>
  </si>
  <si>
    <t>=Auswahl!$D$3</t>
  </si>
  <si>
    <t>ZuschussAGges</t>
  </si>
  <si>
    <t>Auswahl wd/ed</t>
  </si>
  <si>
    <t>Erläuterungen</t>
  </si>
  <si>
    <t>Auswahl "wirtschaftliche Lebensführung"</t>
  </si>
  <si>
    <t>Auswahl "Europa und ich"</t>
  </si>
  <si>
    <t>Chancengleichtheit</t>
  </si>
  <si>
    <t>Kofinanzierungspartner (Seite 2)</t>
  </si>
  <si>
    <t>Silvia Hintz</t>
  </si>
  <si>
    <t>Anmeldeingang</t>
  </si>
  <si>
    <t>passivkofi</t>
  </si>
  <si>
    <t>=Anmeldeformular2012!$L$79</t>
  </si>
  <si>
    <t>AKtivpassivkofi</t>
  </si>
  <si>
    <t>=Anmeldeformular2012!$L$78</t>
  </si>
  <si>
    <t>BAinstit</t>
  </si>
  <si>
    <t>=Anmeldeformular2012!$H$89</t>
  </si>
  <si>
    <t>=Bedarfbest!$A$1:$A$6</t>
  </si>
  <si>
    <t>=GK!$A$42</t>
  </si>
  <si>
    <t>Berat1</t>
  </si>
  <si>
    <t>=GK!$B$39</t>
  </si>
  <si>
    <t>Berat2</t>
  </si>
  <si>
    <t>=GK!$C$40</t>
  </si>
  <si>
    <t>Beratauswahl</t>
  </si>
  <si>
    <t>=GK!$C$1:$C$38</t>
  </si>
  <si>
    <t>ErlaeuterungChancengl</t>
  </si>
  <si>
    <t>=Anmeldeformular2012!$B$136</t>
  </si>
  <si>
    <t>=Intern!$AW$3</t>
  </si>
  <si>
    <t>=DokuBogen!$W$11</t>
  </si>
  <si>
    <t>=Anmeldeformular2012!$B$113</t>
  </si>
  <si>
    <t>=Anmeldeformular2012!$B$123</t>
  </si>
  <si>
    <t>Methode</t>
  </si>
  <si>
    <t>=Anmeldeformular2012!$B$117</t>
  </si>
  <si>
    <t>Pfortschritt</t>
  </si>
  <si>
    <t>=Anmeldeformular2012!$B$126</t>
  </si>
  <si>
    <t>Prozaktivkofi</t>
  </si>
  <si>
    <t>Pstruktur</t>
  </si>
  <si>
    <t>=Anmeldeformular2012!$B$120</t>
  </si>
  <si>
    <t>regBed</t>
  </si>
  <si>
    <t>=Anmeldeformular2012!$B$104</t>
  </si>
  <si>
    <t>SitZG</t>
  </si>
  <si>
    <t>=Anmeldeformular2012!$B$107</t>
  </si>
  <si>
    <t>=Anmeldeformular2012!$N$26</t>
  </si>
  <si>
    <t>Zielvorg</t>
  </si>
  <si>
    <t>=Anmeldeformular2012!$B$110</t>
  </si>
  <si>
    <t>=Auswahl!$C$15</t>
  </si>
  <si>
    <t>=Auswahl!$C$21</t>
  </si>
  <si>
    <t>=Auswahl!$B$31</t>
  </si>
  <si>
    <t>=Auswahl!$C$26</t>
  </si>
  <si>
    <t>hsob</t>
  </si>
  <si>
    <t>Auswahl22</t>
  </si>
  <si>
    <t>Auswahl23</t>
  </si>
  <si>
    <t>Auswahl24</t>
  </si>
  <si>
    <t>Auswahl25</t>
  </si>
  <si>
    <t>Auswahl26</t>
  </si>
  <si>
    <t>Auswahl32</t>
  </si>
  <si>
    <t>Auswahl33</t>
  </si>
  <si>
    <t>Auswahl34</t>
  </si>
  <si>
    <t>Auswahl35</t>
  </si>
  <si>
    <t>Auswahl36</t>
  </si>
  <si>
    <t>Auswahl42</t>
  </si>
  <si>
    <t>Auswahl43</t>
  </si>
  <si>
    <t>Auswahl44</t>
  </si>
  <si>
    <t>AuswahlStandard</t>
  </si>
  <si>
    <t>Bundesagentur für Arbeit-Institution</t>
  </si>
  <si>
    <t>Bundesagentur für Arbeit-Ansprechpartner</t>
  </si>
  <si>
    <t>Bundesagentur für Arbeit-Telefon</t>
  </si>
  <si>
    <t>Spenden-Institution</t>
  </si>
  <si>
    <t>Checkliste</t>
  </si>
  <si>
    <r>
      <t>Erläuterung:</t>
    </r>
    <r>
      <rPr>
        <sz val="9"/>
        <rFont val="Arial"/>
        <family val="2"/>
      </rPr>
      <t xml:space="preserve">  </t>
    </r>
  </si>
  <si>
    <r>
      <t>Erläuterung:</t>
    </r>
    <r>
      <rPr>
        <sz val="8"/>
        <rFont val="Arial"/>
        <family val="2"/>
      </rPr>
      <t xml:space="preserve">  </t>
    </r>
  </si>
  <si>
    <r>
      <t xml:space="preserve">Anmerkungen Beratung: </t>
    </r>
    <r>
      <rPr>
        <sz val="10"/>
        <rFont val="Arial"/>
        <family val="2"/>
      </rPr>
      <t xml:space="preserve"> </t>
    </r>
  </si>
  <si>
    <t>AuswahlGesamt</t>
  </si>
  <si>
    <t>AktionlisteGesamt</t>
  </si>
  <si>
    <t>FansatzlisteGesamt</t>
  </si>
  <si>
    <t>Beratung von Arbeitgebern</t>
  </si>
  <si>
    <t>Gesundheitsprävention</t>
  </si>
  <si>
    <t>Sensibilisierung für WB</t>
  </si>
  <si>
    <t>Betreuung</t>
  </si>
  <si>
    <t>Laufbahnberatung</t>
  </si>
  <si>
    <t>Sprachtraining</t>
  </si>
  <si>
    <t>Bewerbungstraining</t>
  </si>
  <si>
    <t>Multiplikatorenarbeit</t>
  </si>
  <si>
    <t>Coaching</t>
  </si>
  <si>
    <t>EDV-Training</t>
  </si>
  <si>
    <t>EDV-Training (mit Zertifikat)</t>
  </si>
  <si>
    <t>Praktikum</t>
  </si>
  <si>
    <t>Erprobung von Arbeitsfeldern</t>
  </si>
  <si>
    <t>Kompetenzfeststellung/Standortbest.</t>
  </si>
  <si>
    <t>Modul "Europa und Ich"</t>
  </si>
  <si>
    <t>Grundlagen finanz.Lebensführung</t>
  </si>
  <si>
    <t>Zertif.Qualifizierungsbaust.</t>
  </si>
  <si>
    <t>Vermittlung von Sozialkomp.</t>
  </si>
  <si>
    <t>Projektelemente:</t>
  </si>
  <si>
    <t>Qualifizierungsbausteine</t>
  </si>
  <si>
    <t>Frau</t>
  </si>
  <si>
    <t>siehe  "Anmerkungen Beratung"</t>
  </si>
  <si>
    <t>TN-Plätze</t>
  </si>
  <si>
    <t>Pachsekurz</t>
  </si>
  <si>
    <t>Endgültige Entscheidung nach Änderung am:</t>
  </si>
  <si>
    <t>=Aktion!$A$2:$A$7</t>
  </si>
  <si>
    <t>=Aktion!$F$2:$F$15</t>
  </si>
  <si>
    <t>=GK!#BEZUG!</t>
  </si>
  <si>
    <t>Beraternamen</t>
  </si>
  <si>
    <t>=HSOB!$A$1:$B$4</t>
  </si>
  <si>
    <t>Dokuaktionauswahl</t>
  </si>
  <si>
    <t>=Auswahl!$C$34</t>
  </si>
  <si>
    <t>Dokufansatzauswahl</t>
  </si>
  <si>
    <t>=Auswahl!$C$35</t>
  </si>
  <si>
    <t>DokuPauswahl</t>
  </si>
  <si>
    <t>=Auswahl!$C$33</t>
  </si>
  <si>
    <t>FAnsatzAuswahlen</t>
  </si>
  <si>
    <t>=FAnsatz!$A$1:$O$1</t>
  </si>
  <si>
    <t>=FAnsatz!$A$2:$A$7</t>
  </si>
  <si>
    <t>=FAnsatz!$P$2:$P$28</t>
  </si>
  <si>
    <t>FAnsatzlisteVersatz</t>
  </si>
  <si>
    <t>=Auswahl!$E$8</t>
  </si>
  <si>
    <t>=Check!#BEZUG!</t>
  </si>
  <si>
    <t>=GK!$A$1:$B$38</t>
  </si>
  <si>
    <t>=Auswahl!$E$5</t>
  </si>
  <si>
    <t>=Intern!$BE$3</t>
  </si>
  <si>
    <t>=Intern!$BF$3</t>
  </si>
  <si>
    <t>=Auswahl!$E$6</t>
  </si>
  <si>
    <t>PKkurz</t>
  </si>
  <si>
    <t>=Auswahl!$E$11</t>
  </si>
  <si>
    <t>=PK!$A$1:$A$4</t>
  </si>
  <si>
    <t>FProjBeginn</t>
  </si>
  <si>
    <t>SProjBeginn</t>
  </si>
  <si>
    <t>FristEingang</t>
  </si>
  <si>
    <t>Projektname</t>
  </si>
  <si>
    <t>Qualifizierung (oder vergleichbares), normale Teilnehmendenerfassung</t>
  </si>
  <si>
    <t>Beratung (oder vergleichbares), aggregierte Teilnehmendenerfassung</t>
  </si>
  <si>
    <t>Prioritätsachse C: Arbeitsgelegenheit mit Qualifizierung</t>
  </si>
  <si>
    <t>Prioritätsachse C: Niedrigschwellige Qualifizierung/Erhöhung der Beschäftigungsfähigkeit</t>
  </si>
  <si>
    <t>Prioritätsachse C: Qualifizierung in der Altenpflege/Krankenpflege</t>
  </si>
  <si>
    <t>Bitte auswählen</t>
  </si>
  <si>
    <t>PLstgAnsatzListe</t>
  </si>
  <si>
    <t>Qualifizierung</t>
  </si>
  <si>
    <t>Beratung</t>
  </si>
  <si>
    <t>Auswahl222</t>
  </si>
  <si>
    <t>Auswahl223</t>
  </si>
  <si>
    <t>Auswahl233</t>
  </si>
  <si>
    <t>Auswahl332</t>
  </si>
  <si>
    <t>Auswahl442</t>
  </si>
  <si>
    <t>Auswahl232</t>
  </si>
  <si>
    <t>Auswahl422</t>
  </si>
  <si>
    <t>Auswahl432</t>
  </si>
  <si>
    <r>
      <t xml:space="preserve">Ggfs. notwendige Änderungen / Auflagen: </t>
    </r>
    <r>
      <rPr>
        <sz val="10"/>
        <rFont val="Arial"/>
        <family val="2"/>
      </rPr>
      <t xml:space="preserve"> </t>
    </r>
  </si>
  <si>
    <t>F</t>
  </si>
  <si>
    <t>Legende Prio 0</t>
  </si>
  <si>
    <t>Ent-scheid-ung</t>
  </si>
  <si>
    <t>Prio-vor-schlag</t>
  </si>
  <si>
    <t>Bewer-tungs-vor-schlag</t>
  </si>
  <si>
    <t>Kofinanzierung unklar</t>
  </si>
  <si>
    <t>Keine Rückmeldung Kofi</t>
  </si>
  <si>
    <t>fehl.Kofi</t>
  </si>
  <si>
    <t>keine Rückmeldung zur Kofi</t>
  </si>
  <si>
    <t>Kofi noch unklar</t>
  </si>
  <si>
    <t>Eingang Neue Fassung</t>
  </si>
  <si>
    <t>neufass</t>
  </si>
  <si>
    <t>Qualifizierung in der Altenpflege/Krankenpflege</t>
  </si>
  <si>
    <t>niedrigschwellige Qualifizierung/ Erhöhung der Beschäftigungsfähigkeit</t>
  </si>
  <si>
    <t>AktivKofi</t>
  </si>
  <si>
    <t>Aktive Kofinanzierung</t>
  </si>
  <si>
    <t>Gesamtkosten abzgl. Passive Kofinanzierung</t>
  </si>
  <si>
    <r>
      <t xml:space="preserve">Anmerkungen Beratung: 
</t>
    </r>
    <r>
      <rPr>
        <sz val="10"/>
        <rFont val="Arial"/>
        <family val="2"/>
      </rPr>
      <t xml:space="preserve"> 
 </t>
    </r>
  </si>
  <si>
    <t>Auswahl333</t>
  </si>
  <si>
    <t>Qualifizierung Altenpflege</t>
  </si>
  <si>
    <t>Auswahl423</t>
  </si>
  <si>
    <t>Auswahl424</t>
  </si>
  <si>
    <t>Auswahl425</t>
  </si>
  <si>
    <t>Auswahl426</t>
  </si>
  <si>
    <t>Auswahl427</t>
  </si>
  <si>
    <t>Auswahl433</t>
  </si>
  <si>
    <t>Auswahl434</t>
  </si>
  <si>
    <t>Auswahl435</t>
  </si>
  <si>
    <t>Auswahl443</t>
  </si>
  <si>
    <t>Auswahl444</t>
  </si>
  <si>
    <t>Maßnahme</t>
  </si>
  <si>
    <t>Erläuterung für Entscheidung</t>
  </si>
  <si>
    <t>Niedrigschwellige Qualifizierung</t>
  </si>
  <si>
    <t>Anzahl der KMU</t>
  </si>
  <si>
    <t>Ergänzende Erläuterungen zu obigen Angaben, ggfs. Anzahl der Durchgänge im Projekt (bei Bedarf):</t>
  </si>
  <si>
    <t>kommunale Mittel</t>
  </si>
  <si>
    <t>Entgeltfortzahlung(Pauschalierung)</t>
  </si>
  <si>
    <t xml:space="preserve">                                                           Anteil aktive Kofinanzierung</t>
  </si>
  <si>
    <t>Komges</t>
  </si>
  <si>
    <t>kom1jahr</t>
  </si>
  <si>
    <t>kom2jahr</t>
  </si>
  <si>
    <t>andlandges</t>
  </si>
  <si>
    <t>andland1jahr</t>
  </si>
  <si>
    <t>andland2jahr</t>
  </si>
  <si>
    <t>sgbIIges</t>
  </si>
  <si>
    <t>Kommune gesamt</t>
  </si>
  <si>
    <t>and. Landesmit. Gesamt</t>
  </si>
  <si>
    <t>Sonstige oeffentliche Mittel</t>
  </si>
  <si>
    <t>tngebges</t>
  </si>
  <si>
    <t>tngeb1jahr</t>
  </si>
  <si>
    <t>Spenden gesamt</t>
  </si>
  <si>
    <t>EntgeltTN1jahr</t>
  </si>
  <si>
    <t>EntgeltTN2jahr</t>
  </si>
  <si>
    <t>and.Kofi</t>
  </si>
  <si>
    <t>6</t>
  </si>
  <si>
    <t>7</t>
  </si>
  <si>
    <t>8</t>
  </si>
  <si>
    <t>TN-Anz.:</t>
  </si>
  <si>
    <t>TN-Pl.:</t>
  </si>
  <si>
    <t>Kofi-aktiv</t>
  </si>
  <si>
    <t>Kofi-passiv</t>
  </si>
  <si>
    <t>Anteil in %</t>
  </si>
  <si>
    <t>Auswahl45</t>
  </si>
  <si>
    <t>Anteil an Kosten der Qualifizierung</t>
  </si>
  <si>
    <t>Qualifizierungskosten</t>
  </si>
  <si>
    <t>Kosten ges.</t>
  </si>
  <si>
    <t>Förderplan</t>
  </si>
  <si>
    <t>kommunale Mittel-Institution</t>
  </si>
  <si>
    <t>Andere Landesmittel-Institution</t>
  </si>
  <si>
    <t>Sonstige öffentliche Mittel-Institution</t>
  </si>
  <si>
    <t xml:space="preserve">Passive Kofi </t>
  </si>
  <si>
    <t>Regionale Bedarfslage/ Zielgruppe</t>
  </si>
  <si>
    <t>Projekt-,Qualifizierungsinhalte</t>
  </si>
  <si>
    <t>Projektstruktur, -phasen, ztl. Ablauf, auch teilnehmerbezogen</t>
  </si>
  <si>
    <t>Ergebnisindikatoren, Dokumentation, Erfolgskontrolle</t>
  </si>
  <si>
    <t>Kontakte, Kooperationen</t>
  </si>
  <si>
    <t>regionale Bedarfslage/ Zielgruppe</t>
  </si>
  <si>
    <t>Messung u. Dokumentation der Ergebnisindikatorik (maximal 2400 Zeichen)</t>
  </si>
  <si>
    <t>Projekt-/QualifizierungsinhalteZiele</t>
  </si>
  <si>
    <t>Projektstruktur,-phasen, ztl. Ablauf, auch teilnehmerbezogen, Methodik</t>
  </si>
  <si>
    <t>Messung und Dokumentation Ergebnisindikatorik</t>
  </si>
  <si>
    <t>Projektstruktur, -phasen, ztl. Ablauf, Methodeneinsatz</t>
  </si>
  <si>
    <t>Auswahl452</t>
  </si>
  <si>
    <t>Auswahl453</t>
  </si>
  <si>
    <t>anspranrede</t>
  </si>
  <si>
    <t>Ansprechpartner Name</t>
  </si>
  <si>
    <t>Ansprechpartner Vorname</t>
  </si>
  <si>
    <t>ansprname</t>
  </si>
  <si>
    <t>Projektstruktur/-phasen, zeitl. Ablauf, auch teilnehmerbezogen, Methodeneinsatz (max. 3000 Zeichen)</t>
  </si>
  <si>
    <t>wd</t>
  </si>
  <si>
    <t>Förderansatz</t>
  </si>
  <si>
    <t>ba1jahr</t>
  </si>
  <si>
    <t>bages</t>
  </si>
  <si>
    <t>Bundesagentur gesamt</t>
  </si>
  <si>
    <t>wd / ed</t>
  </si>
  <si>
    <t>Kost4Jahr</t>
  </si>
  <si>
    <t>Esf3Jahr</t>
  </si>
  <si>
    <t>Esf4Jahr</t>
  </si>
  <si>
    <t>msagd4Jahr</t>
  </si>
  <si>
    <t>kom3jahr</t>
  </si>
  <si>
    <t>kom4jahr</t>
  </si>
  <si>
    <t>ba4jahr</t>
  </si>
  <si>
    <t>andland3jahr</t>
  </si>
  <si>
    <t>andland4jahr</t>
  </si>
  <si>
    <t>sgbII4jahr</t>
  </si>
  <si>
    <t>eigen4jahr</t>
  </si>
  <si>
    <t>tngeb4jahr</t>
  </si>
  <si>
    <t>zuschussag4jahr</t>
  </si>
  <si>
    <t>spenden4jahr</t>
  </si>
  <si>
    <t>einnahmen4jahr</t>
  </si>
  <si>
    <t>EntgeltTN3jahr</t>
  </si>
  <si>
    <t>EntgeltTN4jahr</t>
  </si>
  <si>
    <t>Kost3Jahr</t>
  </si>
  <si>
    <t>mbges</t>
  </si>
  <si>
    <t>mb1jahr</t>
  </si>
  <si>
    <t>mb2jahr</t>
  </si>
  <si>
    <t>mb3jahr</t>
  </si>
  <si>
    <t>mb4jahr</t>
  </si>
  <si>
    <t>ltgtitel</t>
  </si>
  <si>
    <t>Mittel des Jobcenters (SGBII)</t>
  </si>
  <si>
    <t>weitere Landesmittel</t>
  </si>
  <si>
    <t>Mittel MWVLW</t>
  </si>
  <si>
    <t>Private Mittel</t>
  </si>
  <si>
    <t>Zuschüsse von Unternehmen</t>
  </si>
  <si>
    <t>Spenden</t>
  </si>
  <si>
    <t>Einnahmen aus Erlösen</t>
  </si>
  <si>
    <t>Einnahmen aus Verkäufen, Vermietungen, Dienstleistungen etc.</t>
  </si>
  <si>
    <t>durch MWVLW bestätigt</t>
  </si>
  <si>
    <t>MWVLW gesamt</t>
  </si>
  <si>
    <t>Jobcenter gesamt</t>
  </si>
  <si>
    <t>justizges</t>
  </si>
  <si>
    <t>justiz1jahr</t>
  </si>
  <si>
    <t>justiz2jahr</t>
  </si>
  <si>
    <t>justiz3jahr</t>
  </si>
  <si>
    <t>justiz4jahr</t>
  </si>
  <si>
    <t>Mittel MWVLW-Institution</t>
  </si>
  <si>
    <t>Mittel Jobcenter-Institution</t>
  </si>
  <si>
    <t>Zuschuss von Unternehmen-Institution</t>
  </si>
  <si>
    <t>mwvlwges</t>
  </si>
  <si>
    <t>mwvlw1jahr</t>
  </si>
  <si>
    <t>mwvlw2jahr</t>
  </si>
  <si>
    <t>mwvlw3jahr</t>
  </si>
  <si>
    <t>mwvlw4jahr</t>
  </si>
  <si>
    <t>Entgeltfortzahlung TN gesamt</t>
  </si>
  <si>
    <t>Teilnehmergebühren gesamt</t>
  </si>
  <si>
    <t>Zuschuss Unternehmen gesamt</t>
  </si>
  <si>
    <t>Eigenmittel Träger gesamt</t>
  </si>
  <si>
    <t>Einnahmen gesamt</t>
  </si>
  <si>
    <t xml:space="preserve"> Kontakte, Kooperationen und Öffentlichkeitsarbeit (maximal 1800 Zeichen)</t>
  </si>
  <si>
    <t>Kontakte, Kooperationen, Öffentlichkeitsarbeit</t>
  </si>
  <si>
    <t>Das Modul "Europa und ich" wird mit den Teilnehmenden durchgeführt.</t>
  </si>
  <si>
    <t>Vorprojekt Nr</t>
  </si>
  <si>
    <t>nrvorproj</t>
  </si>
  <si>
    <t>BS:</t>
  </si>
  <si>
    <t>Mittel MWVLW-Ansprechpartner/Tel</t>
  </si>
  <si>
    <t>Mittel MWVLW-E-mail</t>
  </si>
  <si>
    <t>Andere Landesmittel-Ansprechpartner/Tel.</t>
  </si>
  <si>
    <t>kommunale Mittel-Ansprechpartner/Tel.</t>
  </si>
  <si>
    <t>Andere Landesmittel-E-mail</t>
  </si>
  <si>
    <t>Mittel Jobcenter-Ansprechpartner/Tel.</t>
  </si>
  <si>
    <t>Sonstige öffentliche Mittel-Ansprechpartner/Tel.</t>
  </si>
  <si>
    <t>kommunale Mittel-E-mail</t>
  </si>
  <si>
    <t>Mittel Jobcenter-E-mail</t>
  </si>
  <si>
    <t>Sonstige öffentliche Mittel-E-mail</t>
  </si>
  <si>
    <t>Spenden-Ansprechpartner/Tel.</t>
  </si>
  <si>
    <t>Zuschuss von Unternehmen-Ansprechpartner/Tel.</t>
  </si>
  <si>
    <t>Zuschuss von Unternehmen-E-mail</t>
  </si>
  <si>
    <t>Spenden-E-Mail</t>
  </si>
  <si>
    <t>Nachhaltigkeit: sozial</t>
  </si>
  <si>
    <t>Nachhaltigkeit: ökologisch</t>
  </si>
  <si>
    <t>Nachhaltigkeit: ökonomisch</t>
  </si>
  <si>
    <t>E-mail</t>
  </si>
  <si>
    <t>Mittel JM</t>
  </si>
  <si>
    <t>Auflagen</t>
  </si>
  <si>
    <t>Regionale Bedarfslage/ Ausgangssituation Zielgruppe (maximal 2400 Zeichen)</t>
  </si>
  <si>
    <t>Projekt-/ Qualifizierungsinhalte, Ziele (maximal 3000 Zeichen)</t>
  </si>
  <si>
    <t>Erläuterungen Querschnittsziele (maximal 1800 Zeichen)</t>
  </si>
  <si>
    <t>AnsprechpartnerIn/Tel.</t>
  </si>
  <si>
    <t>Projekt-, Qualifizierungsinhalte, Ziele</t>
  </si>
  <si>
    <t>Anmerkungen</t>
  </si>
  <si>
    <t>AS</t>
  </si>
  <si>
    <t>Andreas Schneider</t>
  </si>
  <si>
    <t>ACE</t>
  </si>
  <si>
    <t>davon 2022:</t>
  </si>
  <si>
    <t>Andrea Colling-Engel</t>
  </si>
  <si>
    <t>Vulkaneifelkreis</t>
  </si>
  <si>
    <t>ueregion</t>
  </si>
  <si>
    <t>2022</t>
  </si>
  <si>
    <t>Mittel MASTD</t>
  </si>
  <si>
    <t>Mittel MFFKI</t>
  </si>
  <si>
    <t>Mittel MWG</t>
  </si>
  <si>
    <t>Mittel MKUEM</t>
  </si>
  <si>
    <t>sstgoeff3jahr</t>
  </si>
  <si>
    <t>Mittel MKUEM-Insitution</t>
  </si>
  <si>
    <t>Mittel MKUEM-Ansprechpartner/Tel.</t>
  </si>
  <si>
    <t>Mittel MKUEM-E-mail</t>
  </si>
  <si>
    <t>Mittel MWG-Institution</t>
  </si>
  <si>
    <t>Mittel MWG-Ansprechpartner</t>
  </si>
  <si>
    <t>Mittel MWG-Telefon</t>
  </si>
  <si>
    <t>Mittel MFFKI-Institution</t>
  </si>
  <si>
    <t>Mittel MFFKI-Ansprechpartner</t>
  </si>
  <si>
    <t>Mittel MFFKI-Telefon</t>
  </si>
  <si>
    <t>MFFKI</t>
  </si>
  <si>
    <t>MWG</t>
  </si>
  <si>
    <t>MASTD</t>
  </si>
  <si>
    <t>MASTD gesamt</t>
  </si>
  <si>
    <t>mastdges</t>
  </si>
  <si>
    <t>mastd1Jahr</t>
  </si>
  <si>
    <t>mastd2Jahr</t>
  </si>
  <si>
    <t>mastd3Jahr</t>
  </si>
  <si>
    <t>MFFKI gesamt</t>
  </si>
  <si>
    <t>mffkiges</t>
  </si>
  <si>
    <t>mffki1jahr</t>
  </si>
  <si>
    <t>mffki2jahr</t>
  </si>
  <si>
    <t>mffki3jahr</t>
  </si>
  <si>
    <t>mffki4jahr</t>
  </si>
  <si>
    <t>mwgges</t>
  </si>
  <si>
    <t>MWG gesamt</t>
  </si>
  <si>
    <t>mwg1jahr</t>
  </si>
  <si>
    <t>mwg2jahr</t>
  </si>
  <si>
    <t>mwg3jahr</t>
  </si>
  <si>
    <t>mwg4jahr</t>
  </si>
  <si>
    <t>mkuemges</t>
  </si>
  <si>
    <t>MKUEM gesamt</t>
  </si>
  <si>
    <t>mkuem1jahr</t>
  </si>
  <si>
    <t>mkuem2jahr</t>
  </si>
  <si>
    <t>mkuem3jahr</t>
  </si>
  <si>
    <t>mkuem4jahr</t>
  </si>
  <si>
    <t>sstgoeff4jahr</t>
  </si>
  <si>
    <t>Übergangsregion Trier</t>
  </si>
  <si>
    <r>
      <rPr>
        <b/>
        <sz val="11"/>
        <color theme="0"/>
        <rFont val="Arial"/>
        <family val="2"/>
      </rPr>
      <t xml:space="preserve">KMU </t>
    </r>
    <r>
      <rPr>
        <b/>
        <sz val="8"/>
        <color theme="0"/>
        <rFont val="Arial"/>
        <family val="2"/>
      </rPr>
      <t>kleine u.mittlere Unternehmen</t>
    </r>
  </si>
  <si>
    <t>Bitte erst spez.Ziel auswählen</t>
  </si>
  <si>
    <t>Spez. Ziel</t>
  </si>
  <si>
    <t>Angaben zum Begünstigten</t>
  </si>
  <si>
    <t>Begünstigter</t>
  </si>
  <si>
    <t>Einordnung in das Programm des ESF+</t>
  </si>
  <si>
    <t xml:space="preserve">Die Teilnehmenden leben und/oder arbeiten in Rheinland-Pfalz. 
</t>
  </si>
  <si>
    <t>ESF+ - Mittel</t>
  </si>
  <si>
    <t>ESF+</t>
  </si>
  <si>
    <t>Einordnung in das  Programm des ESF+</t>
  </si>
  <si>
    <t>Spezifisches Ziel</t>
  </si>
  <si>
    <t>ESF+ Mittel</t>
  </si>
  <si>
    <t>Begünstigtendaten:</t>
  </si>
  <si>
    <t>Begünstigter - Akkreditierung</t>
  </si>
  <si>
    <t xml:space="preserve">Einordnung korrekt: </t>
  </si>
  <si>
    <t>davon 2023:</t>
  </si>
  <si>
    <t>spezif.Ziel</t>
  </si>
  <si>
    <t>Mittel BM</t>
  </si>
  <si>
    <t>Chancengleichheit/ Nichtdiskriminierung 
und Gleichstellung der Geschlechter</t>
  </si>
  <si>
    <t>BM</t>
  </si>
  <si>
    <t>Mittel BM-Ansprechpartner</t>
  </si>
  <si>
    <t>Mittel BM-Institution</t>
  </si>
  <si>
    <t>Mittel BM-Telefon</t>
  </si>
  <si>
    <t>Mittel JM-Institution</t>
  </si>
  <si>
    <t>Mittel JM-Ansprechpartner</t>
  </si>
  <si>
    <t>Mittel JM-Telefon</t>
  </si>
  <si>
    <t>durch MFFKI bestätigt</t>
  </si>
  <si>
    <t>durch BM bestätigt</t>
  </si>
  <si>
    <t>durch JM bestätigt</t>
  </si>
  <si>
    <t>durch MWG bestätigt</t>
  </si>
  <si>
    <t>Anteil ESF+</t>
  </si>
  <si>
    <t>Tnnichtbinär</t>
  </si>
  <si>
    <t>davon nicht-binär</t>
  </si>
  <si>
    <t>TN nicht-binär</t>
  </si>
  <si>
    <t>Spez.Ziel</t>
  </si>
  <si>
    <t>BM gesamt</t>
  </si>
  <si>
    <t>JM gesamt</t>
  </si>
  <si>
    <t>Interventionsgrad ESF+</t>
  </si>
  <si>
    <t>durch MASTD bestätigt</t>
  </si>
  <si>
    <t>Mittel MASTD-Institution</t>
  </si>
  <si>
    <t>Mittel MASTD-Ansprechpartner</t>
  </si>
  <si>
    <t>Mittel MASTD-Telefon</t>
  </si>
  <si>
    <t>SOB</t>
  </si>
  <si>
    <t>Ü-region</t>
  </si>
  <si>
    <t>EurekaRLP Plus Begünstigtennr.</t>
  </si>
  <si>
    <t>h) Förderung der aktiven Inklusion…</t>
  </si>
  <si>
    <t>Frauen aktiv in die Zukunft</t>
  </si>
  <si>
    <t>2023</t>
  </si>
  <si>
    <t>Projektanmeldung zum Aufruf 2022-3
REALKOSTEN 
Frauen aktiv in die Zukunft</t>
  </si>
  <si>
    <t>Kostenplan</t>
  </si>
  <si>
    <t>Kosten</t>
  </si>
  <si>
    <t>Betrag</t>
  </si>
  <si>
    <t>Personal-kosten</t>
  </si>
  <si>
    <t>Sachkosten</t>
  </si>
  <si>
    <t>Verwaltungs-kosten</t>
  </si>
  <si>
    <t xml:space="preserve">Personaleinsatzplanung und Teilnahmezeiten:
Bitte erläutern Sie die Teilnahme- bzw. Anwesenheitszeiten der Teilnehmenden sowie den damit in Zusammenhang stehenden Personaleinsatz: </t>
  </si>
  <si>
    <t>Funktion im Projekt</t>
  </si>
  <si>
    <t>Stellenumfang</t>
  </si>
  <si>
    <t xml:space="preserve">Sind Sie bereits akkrediert oder wurden die Dokumente für die Akkreditierung in der  Förderperiode 2021-2027 bereits bei der 
ESF+-Beratungsstelle eingereicht? </t>
  </si>
  <si>
    <t>Aufruf 2022-3</t>
  </si>
  <si>
    <t>Stärker entwickelte Regionen</t>
  </si>
  <si>
    <r>
      <rPr>
        <b/>
        <sz val="11"/>
        <rFont val="Arial"/>
        <family val="2"/>
      </rPr>
      <t>Bitte beachten Sie:</t>
    </r>
    <r>
      <rPr>
        <sz val="11"/>
        <rFont val="Arial"/>
        <family val="2"/>
      </rPr>
      <t xml:space="preserve">
Der ESF+-Interventionssatz kann in der Übergangsregion max.  60% betragen! 
Im restlichen Rheinland-Pfalz ist eine Förderung des ESF+ bis max. 40% der förderfähigen Kosten möglich!
Landesförderung MASTD 20% der förderfähigen Kosten!</t>
    </r>
  </si>
  <si>
    <t>Interventions-satz</t>
  </si>
  <si>
    <t>Projektanmeldung zum Aufruf 2022-3 Frauen aktiv in die Zukunft</t>
  </si>
  <si>
    <t>nicht förderfähig im Sinne des ESF+</t>
  </si>
  <si>
    <t>Langzeitleistungsbeziehende (SGB II) / strukturell Benachteiligte im Leistungsbezug (SGB II)</t>
  </si>
  <si>
    <t>Erläuterung zur alternativen Projektumsetzung aufgrund 
Corona-Pandemie (D6)</t>
  </si>
  <si>
    <t>9</t>
  </si>
  <si>
    <t>Alternative Projektumsetzung in Folge von Einschränkungen durch die Corona-Pandemie 
(maximal 3000 Zeichen)</t>
  </si>
  <si>
    <t>Alternative Projektumsetzung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</si>
</sst>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#,##0\ &quot;€&quot;"/>
    <numFmt numFmtId="166" formatCode="0.0"/>
    <numFmt numFmtId="167" formatCode="dd/mm/yy;@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000000"/>
      <name val="Arial"/>
      <family val="2"/>
    </font>
    <font>
      <sz val="10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933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wrapText="1"/>
    </xf>
    <xf numFmtId="0" fontId="2" fillId="0" borderId="8" xfId="0" applyFont="1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left"/>
    </xf>
    <xf numFmtId="0" fontId="10" fillId="0" borderId="0" xfId="0" applyFont="1" applyBorder="1"/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0" fillId="0" borderId="9" xfId="0" applyBorder="1"/>
    <xf numFmtId="0" fontId="2" fillId="0" borderId="9" xfId="0" applyFont="1" applyBorder="1"/>
    <xf numFmtId="0" fontId="10" fillId="0" borderId="0" xfId="0" applyFont="1" applyBorder="1" applyAlignment="1">
      <alignment horizontal="left"/>
    </xf>
    <xf numFmtId="0" fontId="2" fillId="0" borderId="2" xfId="0" applyFont="1" applyBorder="1"/>
    <xf numFmtId="3" fontId="2" fillId="0" borderId="0" xfId="0" applyNumberFormat="1" applyFont="1" applyAlignment="1">
      <alignment wrapText="1"/>
    </xf>
    <xf numFmtId="0" fontId="10" fillId="0" borderId="1" xfId="0" applyFont="1" applyBorder="1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Fill="1" applyAlignment="1">
      <alignment wrapText="1"/>
    </xf>
    <xf numFmtId="3" fontId="2" fillId="0" borderId="0" xfId="0" quotePrefix="1" applyNumberFormat="1" applyFont="1" applyFill="1" applyAlignment="1">
      <alignment wrapText="1"/>
    </xf>
    <xf numFmtId="1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left"/>
    </xf>
    <xf numFmtId="167" fontId="0" fillId="0" borderId="0" xfId="0" applyNumberFormat="1"/>
    <xf numFmtId="1" fontId="0" fillId="0" borderId="0" xfId="0" applyNumberFormat="1"/>
    <xf numFmtId="49" fontId="3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22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23" fillId="0" borderId="1" xfId="0" applyFont="1" applyBorder="1" applyAlignment="1">
      <alignment horizontal="center"/>
    </xf>
    <xf numFmtId="0" fontId="0" fillId="0" borderId="5" xfId="0" applyBorder="1" applyAlignment="1"/>
    <xf numFmtId="0" fontId="22" fillId="0" borderId="1" xfId="0" applyFont="1" applyBorder="1" applyAlignment="1"/>
    <xf numFmtId="0" fontId="21" fillId="0" borderId="1" xfId="0" applyFont="1" applyBorder="1" applyAlignment="1"/>
    <xf numFmtId="0" fontId="23" fillId="0" borderId="9" xfId="0" applyFont="1" applyBorder="1" applyAlignment="1"/>
    <xf numFmtId="0" fontId="23" fillId="0" borderId="1" xfId="0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7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/>
    <xf numFmtId="0" fontId="10" fillId="0" borderId="5" xfId="0" applyFont="1" applyBorder="1" applyAlignment="1"/>
    <xf numFmtId="1" fontId="0" fillId="0" borderId="0" xfId="0" applyNumberFormat="1" applyProtection="1"/>
    <xf numFmtId="49" fontId="3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/>
    <xf numFmtId="0" fontId="0" fillId="0" borderId="10" xfId="0" applyBorder="1"/>
    <xf numFmtId="0" fontId="2" fillId="0" borderId="0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49" fontId="0" fillId="0" borderId="2" xfId="0" applyNumberFormat="1" applyFill="1" applyBorder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9" fontId="20" fillId="0" borderId="2" xfId="0" applyNumberFormat="1" applyFont="1" applyFill="1" applyBorder="1" applyAlignment="1" applyProtection="1">
      <alignment horizontal="left"/>
    </xf>
    <xf numFmtId="0" fontId="0" fillId="0" borderId="5" xfId="0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0" fillId="2" borderId="4" xfId="0" applyFill="1" applyBorder="1" applyAlignment="1"/>
    <xf numFmtId="0" fontId="0" fillId="2" borderId="11" xfId="0" applyFill="1" applyBorder="1" applyAlignment="1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NumberFormat="1" applyBorder="1"/>
    <xf numFmtId="0" fontId="0" fillId="0" borderId="12" xfId="0" applyBorder="1"/>
    <xf numFmtId="2" fontId="0" fillId="0" borderId="0" xfId="0" applyNumberFormat="1" applyBorder="1" applyAlignment="1">
      <alignment horizontal="left"/>
    </xf>
    <xf numFmtId="167" fontId="2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left" wrapText="1"/>
    </xf>
    <xf numFmtId="167" fontId="3" fillId="0" borderId="0" xfId="0" applyNumberFormat="1" applyFont="1"/>
    <xf numFmtId="167" fontId="5" fillId="0" borderId="0" xfId="0" applyNumberFormat="1" applyFont="1" applyAlignment="1">
      <alignment wrapText="1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3" fontId="5" fillId="0" borderId="0" xfId="0" applyNumberFormat="1" applyFont="1" applyAlignment="1">
      <alignment wrapText="1"/>
    </xf>
    <xf numFmtId="0" fontId="0" fillId="0" borderId="0" xfId="0" applyAlignment="1"/>
    <xf numFmtId="0" fontId="10" fillId="0" borderId="0" xfId="0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wrapText="1"/>
    </xf>
    <xf numFmtId="1" fontId="24" fillId="0" borderId="14" xfId="0" applyNumberFormat="1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1" fontId="18" fillId="0" borderId="15" xfId="0" applyNumberFormat="1" applyFont="1" applyBorder="1" applyAlignment="1">
      <alignment horizontal="left" wrapText="1"/>
    </xf>
    <xf numFmtId="0" fontId="0" fillId="0" borderId="16" xfId="0" applyBorder="1" applyAlignment="1"/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horizontal="left"/>
    </xf>
    <xf numFmtId="0" fontId="19" fillId="0" borderId="15" xfId="0" applyFont="1" applyBorder="1"/>
    <xf numFmtId="0" fontId="0" fillId="0" borderId="2" xfId="0" applyBorder="1" applyAlignment="1">
      <alignment wrapText="1"/>
    </xf>
    <xf numFmtId="0" fontId="0" fillId="0" borderId="0" xfId="0" applyBorder="1" applyAlignment="1"/>
    <xf numFmtId="0" fontId="0" fillId="0" borderId="9" xfId="0" applyBorder="1" applyAlignment="1"/>
    <xf numFmtId="0" fontId="18" fillId="0" borderId="5" xfId="0" applyFont="1" applyBorder="1" applyProtection="1">
      <protection locked="0"/>
    </xf>
    <xf numFmtId="0" fontId="0" fillId="0" borderId="11" xfId="0" applyBorder="1" applyProtection="1">
      <protection locked="0"/>
    </xf>
    <xf numFmtId="0" fontId="10" fillId="0" borderId="0" xfId="0" applyFont="1" applyBorder="1" applyAlignment="1"/>
    <xf numFmtId="0" fontId="20" fillId="0" borderId="0" xfId="0" applyFont="1" applyBorder="1" applyAlignment="1" applyProtection="1">
      <alignment horizontal="left"/>
      <protection locked="0"/>
    </xf>
    <xf numFmtId="1" fontId="3" fillId="0" borderId="14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49" fontId="3" fillId="0" borderId="0" xfId="0" applyNumberFormat="1" applyFont="1" applyFill="1" applyBorder="1" applyProtection="1"/>
    <xf numFmtId="14" fontId="0" fillId="0" borderId="0" xfId="0" applyNumberFormat="1"/>
    <xf numFmtId="49" fontId="3" fillId="0" borderId="3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21" fillId="0" borderId="3" xfId="0" applyNumberFormat="1" applyFont="1" applyFill="1" applyBorder="1" applyProtection="1"/>
    <xf numFmtId="49" fontId="21" fillId="0" borderId="0" xfId="0" applyNumberFormat="1" applyFont="1" applyFill="1" applyBorder="1" applyProtection="1"/>
    <xf numFmtId="49" fontId="11" fillId="0" borderId="0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3" fillId="0" borderId="2" xfId="0" applyNumberFormat="1" applyFont="1" applyFill="1" applyBorder="1" applyProtection="1"/>
    <xf numFmtId="49" fontId="3" fillId="0" borderId="5" xfId="0" applyNumberFormat="1" applyFont="1" applyFill="1" applyBorder="1" applyProtection="1"/>
    <xf numFmtId="49" fontId="14" fillId="0" borderId="2" xfId="0" applyNumberFormat="1" applyFont="1" applyFill="1" applyBorder="1" applyProtection="1"/>
    <xf numFmtId="49" fontId="0" fillId="0" borderId="16" xfId="0" applyNumberFormat="1" applyFill="1" applyBorder="1" applyProtection="1"/>
    <xf numFmtId="49" fontId="3" fillId="0" borderId="19" xfId="0" applyNumberFormat="1" applyFont="1" applyFill="1" applyBorder="1" applyProtection="1"/>
    <xf numFmtId="49" fontId="4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9" fillId="0" borderId="0" xfId="0" applyNumberFormat="1" applyFont="1" applyFill="1" applyBorder="1" applyProtection="1"/>
    <xf numFmtId="49" fontId="9" fillId="0" borderId="3" xfId="0" applyNumberFormat="1" applyFont="1" applyFill="1" applyBorder="1" applyProtection="1"/>
    <xf numFmtId="49" fontId="25" fillId="0" borderId="0" xfId="0" applyNumberFormat="1" applyFont="1" applyFill="1" applyBorder="1" applyProtection="1"/>
    <xf numFmtId="49" fontId="9" fillId="0" borderId="5" xfId="0" applyNumberFormat="1" applyFont="1" applyFill="1" applyBorder="1" applyProtection="1"/>
    <xf numFmtId="49" fontId="9" fillId="0" borderId="5" xfId="0" applyNumberFormat="1" applyFont="1" applyFill="1" applyBorder="1" applyAlignment="1" applyProtection="1">
      <alignment horizontal="righ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quotePrefix="1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9" fillId="0" borderId="0" xfId="0" applyNumberFormat="1" applyFont="1" applyFill="1" applyAlignment="1" applyProtection="1"/>
    <xf numFmtId="49" fontId="3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right"/>
    </xf>
    <xf numFmtId="49" fontId="2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12" xfId="0" applyNumberFormat="1" applyFont="1" applyFill="1" applyBorder="1" applyProtection="1"/>
    <xf numFmtId="49" fontId="3" fillId="0" borderId="12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/>
    <xf numFmtId="49" fontId="3" fillId="0" borderId="0" xfId="0" quotePrefix="1" applyNumberFormat="1" applyFont="1" applyFill="1" applyBorder="1" applyProtection="1"/>
    <xf numFmtId="49" fontId="17" fillId="0" borderId="0" xfId="0" applyNumberFormat="1" applyFont="1" applyFill="1" applyBorder="1" applyProtection="1"/>
    <xf numFmtId="49" fontId="0" fillId="0" borderId="0" xfId="0" applyNumberFormat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vertical="top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wrapText="1"/>
    </xf>
    <xf numFmtId="0" fontId="19" fillId="0" borderId="2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49" fontId="0" fillId="0" borderId="4" xfId="0" applyNumberFormat="1" applyFill="1" applyBorder="1" applyAlignment="1" applyProtection="1"/>
    <xf numFmtId="165" fontId="1" fillId="0" borderId="2" xfId="0" applyNumberFormat="1" applyFont="1" applyBorder="1" applyAlignment="1" applyProtection="1">
      <alignment horizontal="left"/>
      <protection locked="0"/>
    </xf>
    <xf numFmtId="165" fontId="1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/>
    <xf numFmtId="0" fontId="0" fillId="0" borderId="2" xfId="0" applyFont="1" applyFill="1" applyBorder="1" applyProtection="1">
      <protection locked="0"/>
    </xf>
    <xf numFmtId="0" fontId="0" fillId="0" borderId="0" xfId="0" applyAlignment="1">
      <alignment horizontal="left" wrapText="1"/>
    </xf>
    <xf numFmtId="1" fontId="0" fillId="0" borderId="0" xfId="0" applyNumberFormat="1" applyBorder="1"/>
    <xf numFmtId="1" fontId="0" fillId="0" borderId="0" xfId="0" applyNumberFormat="1" applyAlignment="1">
      <alignment vertical="center"/>
    </xf>
    <xf numFmtId="0" fontId="29" fillId="0" borderId="0" xfId="0" applyFont="1"/>
    <xf numFmtId="0" fontId="1" fillId="0" borderId="0" xfId="0" applyFont="1" applyFill="1" applyBorder="1" applyProtection="1">
      <protection locked="0"/>
    </xf>
    <xf numFmtId="1" fontId="2" fillId="0" borderId="0" xfId="0" quotePrefix="1" applyNumberFormat="1" applyFont="1" applyFill="1" applyAlignment="1">
      <alignment horizontal="left" wrapText="1"/>
    </xf>
    <xf numFmtId="0" fontId="12" fillId="0" borderId="0" xfId="0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Fill="1"/>
    <xf numFmtId="0" fontId="3" fillId="0" borderId="0" xfId="0" applyNumberFormat="1" applyFont="1"/>
    <xf numFmtId="49" fontId="0" fillId="0" borderId="0" xfId="0" applyNumberFormat="1"/>
    <xf numFmtId="1" fontId="3" fillId="0" borderId="0" xfId="0" applyNumberFormat="1" applyFont="1" applyAlignment="1">
      <alignment horizontal="center" wrapText="1"/>
    </xf>
    <xf numFmtId="0" fontId="1" fillId="0" borderId="0" xfId="0" applyNumberFormat="1" applyFont="1" applyFill="1"/>
    <xf numFmtId="14" fontId="1" fillId="0" borderId="0" xfId="0" applyNumberFormat="1" applyFont="1" applyFill="1"/>
    <xf numFmtId="49" fontId="1" fillId="0" borderId="0" xfId="0" applyNumberFormat="1" applyFont="1" applyFill="1" applyBorder="1" applyProtection="1"/>
    <xf numFmtId="49" fontId="1" fillId="0" borderId="0" xfId="0" quotePrefix="1" applyNumberFormat="1" applyFont="1" applyFill="1" applyBorder="1" applyProtection="1"/>
    <xf numFmtId="0" fontId="0" fillId="0" borderId="0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7" xfId="0" applyFont="1" applyBorder="1" applyProtection="1">
      <protection locked="0"/>
    </xf>
    <xf numFmtId="0" fontId="1" fillId="0" borderId="13" xfId="0" applyFont="1" applyBorder="1" applyAlignment="1">
      <alignment wrapText="1"/>
    </xf>
    <xf numFmtId="49" fontId="1" fillId="0" borderId="0" xfId="0" applyNumberFormat="1" applyFont="1" applyFill="1" applyBorder="1" applyAlignment="1" applyProtection="1"/>
    <xf numFmtId="3" fontId="1" fillId="0" borderId="0" xfId="0" applyNumberFormat="1" applyFont="1"/>
    <xf numFmtId="0" fontId="1" fillId="0" borderId="0" xfId="0" applyFo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left"/>
    </xf>
    <xf numFmtId="0" fontId="22" fillId="0" borderId="10" xfId="0" applyFont="1" applyBorder="1" applyAlignment="1"/>
    <xf numFmtId="0" fontId="1" fillId="0" borderId="2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9" xfId="0" applyFont="1" applyBorder="1"/>
    <xf numFmtId="0" fontId="20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" fontId="0" fillId="0" borderId="0" xfId="0" applyNumberFormat="1" applyAlignment="1">
      <alignment horizontal="right"/>
    </xf>
    <xf numFmtId="1" fontId="3" fillId="3" borderId="0" xfId="0" applyNumberFormat="1" applyFont="1" applyFill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4" xfId="0" applyNumberFormat="1" applyFont="1" applyBorder="1" applyAlignment="1">
      <alignment horizontal="left" wrapText="1"/>
    </xf>
    <xf numFmtId="167" fontId="1" fillId="0" borderId="0" xfId="0" applyNumberFormat="1" applyFont="1"/>
    <xf numFmtId="3" fontId="1" fillId="0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center"/>
    </xf>
    <xf numFmtId="49" fontId="21" fillId="0" borderId="5" xfId="0" applyNumberFormat="1" applyFont="1" applyFill="1" applyBorder="1" applyAlignment="1" applyProtection="1">
      <alignment horizontal="left"/>
    </xf>
    <xf numFmtId="1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9" fontId="3" fillId="0" borderId="10" xfId="0" applyNumberFormat="1" applyFont="1" applyFill="1" applyBorder="1" applyProtection="1"/>
    <xf numFmtId="49" fontId="3" fillId="0" borderId="6" xfId="0" applyNumberFormat="1" applyFont="1" applyFill="1" applyBorder="1" applyProtection="1"/>
    <xf numFmtId="49" fontId="3" fillId="0" borderId="11" xfId="0" applyNumberFormat="1" applyFont="1" applyFill="1" applyBorder="1" applyProtection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/>
    <xf numFmtId="49" fontId="21" fillId="0" borderId="0" xfId="0" applyNumberFormat="1" applyFont="1" applyFill="1" applyBorder="1" applyAlignment="1" applyProtection="1">
      <alignment horizontal="left"/>
    </xf>
    <xf numFmtId="49" fontId="21" fillId="0" borderId="6" xfId="0" applyNumberFormat="1" applyFont="1" applyFill="1" applyBorder="1" applyAlignment="1" applyProtection="1">
      <alignment horizontal="left"/>
    </xf>
    <xf numFmtId="167" fontId="1" fillId="3" borderId="0" xfId="0" applyNumberFormat="1" applyFont="1" applyFill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9" fillId="0" borderId="8" xfId="0" applyNumberFormat="1" applyFont="1" applyFill="1" applyBorder="1" applyAlignment="1" applyProtection="1"/>
    <xf numFmtId="0" fontId="19" fillId="0" borderId="8" xfId="0" applyFont="1" applyBorder="1" applyAlignment="1">
      <alignment wrapText="1"/>
    </xf>
    <xf numFmtId="0" fontId="19" fillId="0" borderId="6" xfId="0" applyFont="1" applyBorder="1"/>
    <xf numFmtId="1" fontId="3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1" fontId="3" fillId="0" borderId="11" xfId="0" applyNumberFormat="1" applyFont="1" applyBorder="1" applyAlignment="1">
      <alignment horizontal="left" wrapText="1"/>
    </xf>
    <xf numFmtId="49" fontId="11" fillId="0" borderId="0" xfId="0" applyNumberFormat="1" applyFont="1" applyFill="1" applyBorder="1" applyAlignment="1" applyProtection="1">
      <alignment vertical="top"/>
    </xf>
    <xf numFmtId="49" fontId="25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Protection="1"/>
    <xf numFmtId="49" fontId="4" fillId="0" borderId="8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/>
    </xf>
    <xf numFmtId="49" fontId="14" fillId="0" borderId="5" xfId="0" applyNumberFormat="1" applyFont="1" applyFill="1" applyBorder="1" applyAlignment="1" applyProtection="1">
      <alignment vertical="center"/>
    </xf>
    <xf numFmtId="0" fontId="20" fillId="0" borderId="3" xfId="0" applyFont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top"/>
    </xf>
    <xf numFmtId="49" fontId="25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25" fillId="0" borderId="0" xfId="0" applyNumberFormat="1" applyFont="1" applyFill="1" applyBorder="1" applyAlignment="1" applyProtection="1">
      <alignment horizontal="left" wrapText="1"/>
    </xf>
    <xf numFmtId="49" fontId="27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vertical="top" wrapText="1"/>
    </xf>
    <xf numFmtId="49" fontId="9" fillId="0" borderId="6" xfId="0" applyNumberFormat="1" applyFont="1" applyFill="1" applyBorder="1" applyProtection="1"/>
    <xf numFmtId="0" fontId="1" fillId="0" borderId="8" xfId="0" applyFont="1" applyBorder="1" applyAlignment="1" applyProtection="1"/>
    <xf numFmtId="49" fontId="1" fillId="0" borderId="0" xfId="0" applyNumberFormat="1" applyFont="1" applyBorder="1" applyAlignment="1" applyProtection="1">
      <alignment horizontal="left"/>
      <protection locked="0"/>
    </xf>
    <xf numFmtId="49" fontId="25" fillId="0" borderId="8" xfId="0" applyNumberFormat="1" applyFont="1" applyFill="1" applyBorder="1" applyAlignment="1" applyProtection="1"/>
    <xf numFmtId="49" fontId="25" fillId="0" borderId="5" xfId="0" applyNumberFormat="1" applyFont="1" applyFill="1" applyBorder="1" applyAlignment="1" applyProtection="1"/>
    <xf numFmtId="49" fontId="25" fillId="0" borderId="7" xfId="0" applyNumberFormat="1" applyFont="1" applyFill="1" applyBorder="1" applyAlignment="1" applyProtection="1"/>
    <xf numFmtId="49" fontId="0" fillId="0" borderId="11" xfId="0" applyNumberFormat="1" applyFill="1" applyBorder="1" applyAlignment="1" applyProtection="1"/>
    <xf numFmtId="49" fontId="25" fillId="0" borderId="6" xfId="0" applyNumberFormat="1" applyFont="1" applyFill="1" applyBorder="1" applyAlignment="1" applyProtection="1"/>
    <xf numFmtId="49" fontId="25" fillId="0" borderId="4" xfId="0" applyNumberFormat="1" applyFont="1" applyFill="1" applyBorder="1" applyAlignment="1" applyProtection="1"/>
    <xf numFmtId="49" fontId="25" fillId="0" borderId="11" xfId="0" applyNumberFormat="1" applyFont="1" applyFill="1" applyBorder="1" applyAlignment="1" applyProtection="1"/>
    <xf numFmtId="49" fontId="3" fillId="0" borderId="2" xfId="0" applyNumberFormat="1" applyFont="1" applyFill="1" applyBorder="1" applyAlignment="1" applyProtection="1">
      <alignment horizontal="center"/>
    </xf>
    <xf numFmtId="49" fontId="20" fillId="0" borderId="2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left"/>
    </xf>
    <xf numFmtId="49" fontId="9" fillId="0" borderId="6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49" fontId="20" fillId="0" borderId="0" xfId="0" applyNumberFormat="1" applyFont="1" applyFill="1" applyBorder="1" applyAlignment="1" applyProtection="1"/>
    <xf numFmtId="49" fontId="1" fillId="0" borderId="0" xfId="0" applyNumberFormat="1" applyFont="1" applyFill="1" applyBorder="1" applyProtection="1">
      <protection locked="0"/>
    </xf>
    <xf numFmtId="9" fontId="0" fillId="0" borderId="0" xfId="0" applyNumberFormat="1" applyBorder="1" applyAlignment="1"/>
    <xf numFmtId="0" fontId="10" fillId="0" borderId="1" xfId="0" applyFont="1" applyBorder="1" applyAlignment="1">
      <alignment horizontal="right"/>
    </xf>
    <xf numFmtId="0" fontId="0" fillId="0" borderId="1" xfId="0" applyBorder="1" applyAlignment="1"/>
    <xf numFmtId="0" fontId="0" fillId="0" borderId="10" xfId="0" applyBorder="1" applyAlignment="1"/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" fillId="0" borderId="0" xfId="0" applyNumberFormat="1" applyFont="1" applyBorder="1" applyAlignment="1">
      <alignment horizontal="right"/>
    </xf>
    <xf numFmtId="0" fontId="0" fillId="0" borderId="0" xfId="0" applyBorder="1" applyAlignment="1"/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9" fillId="0" borderId="0" xfId="0" applyFont="1" applyBorder="1"/>
    <xf numFmtId="0" fontId="0" fillId="0" borderId="0" xfId="0"/>
    <xf numFmtId="3" fontId="0" fillId="0" borderId="0" xfId="0" applyNumberFormat="1" applyFont="1"/>
    <xf numFmtId="0" fontId="0" fillId="0" borderId="0" xfId="0"/>
    <xf numFmtId="0" fontId="0" fillId="0" borderId="0" xfId="0"/>
    <xf numFmtId="0" fontId="1" fillId="0" borderId="0" xfId="0" applyFont="1" applyBorder="1" applyProtection="1">
      <protection locked="0"/>
    </xf>
    <xf numFmtId="0" fontId="0" fillId="0" borderId="0" xfId="0"/>
    <xf numFmtId="0" fontId="0" fillId="0" borderId="0" xfId="0"/>
    <xf numFmtId="49" fontId="31" fillId="7" borderId="0" xfId="0" applyNumberFormat="1" applyFont="1" applyFill="1" applyBorder="1" applyAlignment="1" applyProtection="1">
      <alignment horizontal="center"/>
    </xf>
    <xf numFmtId="0" fontId="0" fillId="0" borderId="0" xfId="0" applyFont="1"/>
    <xf numFmtId="0" fontId="1" fillId="0" borderId="16" xfId="0" applyNumberFormat="1" applyFon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Protection="1">
      <protection locked="0"/>
    </xf>
    <xf numFmtId="49" fontId="10" fillId="0" borderId="16" xfId="0" applyNumberFormat="1" applyFont="1" applyFill="1" applyBorder="1" applyAlignment="1" applyProtection="1">
      <alignment horizontal="left"/>
      <protection locked="0"/>
    </xf>
    <xf numFmtId="0" fontId="29" fillId="0" borderId="0" xfId="0" applyFont="1" applyAlignment="1">
      <alignment vertical="center"/>
    </xf>
    <xf numFmtId="0" fontId="1" fillId="0" borderId="0" xfId="0" applyFont="1" applyBorder="1"/>
    <xf numFmtId="49" fontId="20" fillId="7" borderId="8" xfId="0" applyNumberFormat="1" applyFont="1" applyFill="1" applyBorder="1" applyAlignment="1" applyProtection="1">
      <alignment horizontal="left" vertical="top"/>
    </xf>
    <xf numFmtId="49" fontId="9" fillId="7" borderId="5" xfId="0" applyNumberFormat="1" applyFont="1" applyFill="1" applyBorder="1" applyProtection="1"/>
    <xf numFmtId="49" fontId="11" fillId="0" borderId="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center"/>
    </xf>
    <xf numFmtId="9" fontId="3" fillId="0" borderId="0" xfId="0" applyNumberFormat="1" applyFont="1" applyAlignment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49" fontId="2" fillId="7" borderId="0" xfId="0" quotePrefix="1" applyNumberFormat="1" applyFont="1" applyFill="1" applyBorder="1" applyAlignment="1" applyProtection="1">
      <alignment horizontal="center"/>
    </xf>
    <xf numFmtId="3" fontId="4" fillId="7" borderId="0" xfId="0" applyNumberFormat="1" applyFont="1" applyFill="1" applyBorder="1" applyAlignment="1" applyProtection="1">
      <alignment vertical="center"/>
    </xf>
    <xf numFmtId="49" fontId="12" fillId="5" borderId="0" xfId="0" applyNumberFormat="1" applyFont="1" applyFill="1" applyBorder="1" applyProtection="1"/>
    <xf numFmtId="49" fontId="0" fillId="5" borderId="0" xfId="0" applyNumberFormat="1" applyFill="1" applyBorder="1" applyProtection="1"/>
    <xf numFmtId="49" fontId="3" fillId="5" borderId="0" xfId="0" applyNumberFormat="1" applyFont="1" applyFill="1" applyBorder="1" applyProtection="1"/>
    <xf numFmtId="49" fontId="3" fillId="5" borderId="3" xfId="0" applyNumberFormat="1" applyFont="1" applyFill="1" applyBorder="1" applyProtection="1"/>
    <xf numFmtId="49" fontId="1" fillId="0" borderId="0" xfId="0" applyNumberFormat="1" applyFont="1" applyFill="1" applyBorder="1" applyAlignment="1" applyProtection="1">
      <alignment wrapText="1"/>
    </xf>
    <xf numFmtId="0" fontId="2" fillId="0" borderId="0" xfId="0" applyFont="1" applyBorder="1" applyAlignment="1" applyProtection="1"/>
    <xf numFmtId="49" fontId="1" fillId="0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>
      <alignment horizontal="center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0" fontId="0" fillId="0" borderId="5" xfId="0" applyBorder="1" applyAlignment="1" applyProtection="1"/>
    <xf numFmtId="49" fontId="21" fillId="0" borderId="8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0" fontId="0" fillId="0" borderId="0" xfId="0" applyBorder="1" applyAlignment="1" applyProtection="1"/>
    <xf numFmtId="49" fontId="3" fillId="0" borderId="12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0" fontId="32" fillId="7" borderId="0" xfId="0" applyFont="1" applyFill="1" applyBorder="1" applyAlignment="1" applyProtection="1"/>
    <xf numFmtId="0" fontId="9" fillId="0" borderId="0" xfId="0" applyFont="1" applyBorder="1" applyAlignment="1">
      <alignment vertical="center"/>
    </xf>
    <xf numFmtId="3" fontId="5" fillId="0" borderId="9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0" xfId="0" applyNumberFormat="1" applyFont="1" applyBorder="1" applyAlignment="1" applyProtection="1">
      <alignment horizontal="right" vertical="center" wrapText="1"/>
      <protection locked="0"/>
    </xf>
    <xf numFmtId="49" fontId="1" fillId="5" borderId="9" xfId="0" applyNumberFormat="1" applyFont="1" applyFill="1" applyBorder="1" applyAlignment="1" applyProtection="1">
      <alignment vertical="center" wrapText="1"/>
    </xf>
    <xf numFmtId="49" fontId="0" fillId="0" borderId="1" xfId="0" applyNumberFormat="1" applyBorder="1" applyAlignment="1" applyProtection="1">
      <alignment vertical="center" wrapText="1"/>
    </xf>
    <xf numFmtId="49" fontId="0" fillId="0" borderId="10" xfId="0" applyNumberFormat="1" applyBorder="1" applyAlignment="1" applyProtection="1">
      <alignment vertical="center" wrapText="1"/>
    </xf>
    <xf numFmtId="49" fontId="2" fillId="5" borderId="12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ill="1" applyBorder="1" applyAlignment="1" applyProtection="1">
      <alignment vertical="center" wrapText="1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10" xfId="0" applyNumberFormat="1" applyBorder="1" applyAlignment="1" applyProtection="1">
      <alignment horizontal="right" vertical="center"/>
      <protection locked="0"/>
    </xf>
    <xf numFmtId="3" fontId="5" fillId="6" borderId="12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/>
    <xf numFmtId="0" fontId="0" fillId="0" borderId="0" xfId="0" applyAlignment="1" applyProtection="1"/>
    <xf numFmtId="49" fontId="2" fillId="5" borderId="12" xfId="0" applyNumberFormat="1" applyFont="1" applyFill="1" applyBorder="1" applyAlignment="1" applyProtection="1">
      <alignment wrapText="1"/>
    </xf>
    <xf numFmtId="49" fontId="10" fillId="5" borderId="12" xfId="0" applyNumberFormat="1" applyFont="1" applyFill="1" applyBorder="1" applyAlignment="1" applyProtection="1"/>
    <xf numFmtId="0" fontId="0" fillId="0" borderId="12" xfId="0" applyBorder="1" applyAlignment="1" applyProtection="1"/>
    <xf numFmtId="0" fontId="25" fillId="0" borderId="12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2" fillId="5" borderId="12" xfId="0" applyFont="1" applyFill="1" applyBorder="1" applyAlignment="1" applyProtection="1">
      <alignment wrapText="1"/>
    </xf>
    <xf numFmtId="0" fontId="0" fillId="0" borderId="12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vertical="center"/>
    </xf>
    <xf numFmtId="3" fontId="4" fillId="6" borderId="9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4" fillId="6" borderId="10" xfId="0" applyNumberFormat="1" applyFont="1" applyFill="1" applyBorder="1" applyAlignment="1" applyProtection="1">
      <alignment horizontal="right" vertical="center"/>
    </xf>
    <xf numFmtId="3" fontId="5" fillId="4" borderId="9" xfId="0" applyNumberFormat="1" applyFont="1" applyFill="1" applyBorder="1" applyAlignment="1" applyProtection="1">
      <alignment vertical="center"/>
    </xf>
    <xf numFmtId="3" fontId="5" fillId="4" borderId="1" xfId="0" applyNumberFormat="1" applyFont="1" applyFill="1" applyBorder="1" applyAlignment="1" applyProtection="1">
      <alignment vertical="center"/>
    </xf>
    <xf numFmtId="3" fontId="5" fillId="4" borderId="10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49" fontId="32" fillId="7" borderId="0" xfId="0" applyNumberFormat="1" applyFont="1" applyFill="1" applyBorder="1" applyAlignment="1" applyProtection="1">
      <alignment horizontal="left"/>
    </xf>
    <xf numFmtId="49" fontId="2" fillId="0" borderId="9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49" fontId="25" fillId="0" borderId="8" xfId="0" applyNumberFormat="1" applyFont="1" applyFill="1" applyBorder="1" applyAlignment="1" applyProtection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</xf>
    <xf numFmtId="49" fontId="25" fillId="0" borderId="6" xfId="0" applyNumberFormat="1" applyFont="1" applyBorder="1" applyAlignment="1" applyProtection="1">
      <alignment horizontal="center" vertical="center" wrapText="1"/>
    </xf>
    <xf numFmtId="49" fontId="25" fillId="0" borderId="2" xfId="0" applyNumberFormat="1" applyFont="1" applyBorder="1" applyAlignment="1" applyProtection="1">
      <alignment horizontal="center" vertical="center" wrapText="1"/>
    </xf>
    <xf numFmtId="49" fontId="25" fillId="0" borderId="0" xfId="0" applyNumberFormat="1" applyFont="1" applyAlignment="1" applyProtection="1">
      <alignment horizontal="center" vertical="center" wrapText="1"/>
    </xf>
    <xf numFmtId="49" fontId="25" fillId="0" borderId="3" xfId="0" applyNumberFormat="1" applyFont="1" applyBorder="1" applyAlignment="1" applyProtection="1">
      <alignment horizontal="center" vertical="center" wrapText="1"/>
    </xf>
    <xf numFmtId="49" fontId="25" fillId="0" borderId="7" xfId="0" applyNumberFormat="1" applyFont="1" applyBorder="1" applyAlignment="1" applyProtection="1">
      <alignment horizontal="center" vertical="center" wrapText="1"/>
    </xf>
    <xf numFmtId="49" fontId="25" fillId="0" borderId="4" xfId="0" applyNumberFormat="1" applyFont="1" applyBorder="1" applyAlignment="1" applyProtection="1">
      <alignment horizontal="center" vertical="center" wrapText="1"/>
    </xf>
    <xf numFmtId="49" fontId="25" fillId="0" borderId="11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Fill="1" applyBorder="1" applyAlignment="1" applyProtection="1">
      <alignment vertical="top" wrapText="1"/>
      <protection locked="0"/>
    </xf>
    <xf numFmtId="0" fontId="25" fillId="0" borderId="5" xfId="0" applyNumberFormat="1" applyFont="1" applyFill="1" applyBorder="1" applyAlignment="1" applyProtection="1">
      <alignment vertical="top" wrapText="1"/>
      <protection locked="0"/>
    </xf>
    <xf numFmtId="0" fontId="25" fillId="0" borderId="6" xfId="0" applyNumberFormat="1" applyFont="1" applyFill="1" applyBorder="1" applyAlignment="1" applyProtection="1">
      <alignment vertical="top" wrapText="1"/>
      <protection locked="0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25" fillId="0" borderId="0" xfId="0" applyNumberFormat="1" applyFont="1" applyFill="1" applyBorder="1" applyAlignment="1" applyProtection="1">
      <alignment vertical="top" wrapText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49" fontId="25" fillId="0" borderId="8" xfId="0" applyNumberFormat="1" applyFont="1" applyFill="1" applyBorder="1" applyAlignment="1" applyProtection="1">
      <alignment vertical="top" wrapText="1"/>
      <protection locked="0"/>
    </xf>
    <xf numFmtId="0" fontId="25" fillId="0" borderId="5" xfId="0" applyFont="1" applyBorder="1" applyAlignment="1" applyProtection="1">
      <alignment vertical="top" wrapText="1"/>
      <protection locked="0"/>
    </xf>
    <xf numFmtId="0" fontId="25" fillId="0" borderId="6" xfId="0" applyFont="1" applyBorder="1" applyAlignment="1" applyProtection="1">
      <alignment vertical="top" wrapText="1"/>
      <protection locked="0"/>
    </xf>
    <xf numFmtId="0" fontId="25" fillId="0" borderId="2" xfId="0" applyFont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alignment vertical="top" wrapText="1"/>
      <protection locked="0"/>
    </xf>
    <xf numFmtId="0" fontId="25" fillId="0" borderId="3" xfId="0" applyFont="1" applyBorder="1" applyAlignment="1" applyProtection="1">
      <alignment vertical="top" wrapText="1"/>
      <protection locked="0"/>
    </xf>
    <xf numFmtId="0" fontId="25" fillId="0" borderId="7" xfId="0" applyFont="1" applyBorder="1" applyAlignment="1" applyProtection="1">
      <alignment vertical="top" wrapText="1"/>
      <protection locked="0"/>
    </xf>
    <xf numFmtId="0" fontId="25" fillId="0" borderId="4" xfId="0" applyFont="1" applyBorder="1" applyAlignment="1" applyProtection="1">
      <alignment vertical="top" wrapText="1"/>
      <protection locked="0"/>
    </xf>
    <xf numFmtId="0" fontId="25" fillId="0" borderId="11" xfId="0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protection locked="0"/>
    </xf>
    <xf numFmtId="49" fontId="20" fillId="0" borderId="9" xfId="0" applyNumberFormat="1" applyFont="1" applyFill="1" applyBorder="1" applyAlignment="1" applyProtection="1">
      <alignment wrapText="1"/>
    </xf>
    <xf numFmtId="49" fontId="20" fillId="0" borderId="1" xfId="0" applyNumberFormat="1" applyFont="1" applyFill="1" applyBorder="1" applyAlignment="1" applyProtection="1">
      <alignment wrapText="1"/>
    </xf>
    <xf numFmtId="49" fontId="20" fillId="0" borderId="10" xfId="0" applyNumberFormat="1" applyFont="1" applyFill="1" applyBorder="1" applyAlignment="1" applyProtection="1">
      <alignment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/>
    <xf numFmtId="49" fontId="20" fillId="0" borderId="1" xfId="0" applyNumberFormat="1" applyFont="1" applyFill="1" applyBorder="1" applyAlignment="1" applyProtection="1"/>
    <xf numFmtId="49" fontId="20" fillId="0" borderId="10" xfId="0" applyNumberFormat="1" applyFont="1" applyFill="1" applyBorder="1" applyAlignment="1" applyProtection="1"/>
    <xf numFmtId="3" fontId="1" fillId="4" borderId="9" xfId="0" applyNumberFormat="1" applyFont="1" applyFill="1" applyBorder="1" applyAlignment="1" applyProtection="1">
      <alignment horizontal="right"/>
    </xf>
    <xf numFmtId="3" fontId="1" fillId="4" borderId="1" xfId="0" applyNumberFormat="1" applyFont="1" applyFill="1" applyBorder="1" applyAlignment="1" applyProtection="1">
      <alignment horizontal="right"/>
    </xf>
    <xf numFmtId="3" fontId="1" fillId="4" borderId="10" xfId="0" applyNumberFormat="1" applyFont="1" applyFill="1" applyBorder="1" applyAlignment="1" applyProtection="1">
      <alignment horizontal="right"/>
    </xf>
    <xf numFmtId="9" fontId="10" fillId="4" borderId="12" xfId="0" applyNumberFormat="1" applyFont="1" applyFill="1" applyBorder="1" applyAlignment="1" applyProtection="1">
      <alignment horizontal="center" wrapText="1"/>
    </xf>
    <xf numFmtId="9" fontId="0" fillId="0" borderId="12" xfId="0" applyNumberFormat="1" applyBorder="1" applyAlignment="1" applyProtection="1"/>
    <xf numFmtId="0" fontId="10" fillId="0" borderId="0" xfId="0" applyNumberFormat="1" applyFont="1" applyFill="1" applyBorder="1" applyAlignment="1" applyProtection="1"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2" fillId="8" borderId="9" xfId="0" applyNumberFormat="1" applyFont="1" applyFill="1" applyBorder="1" applyAlignment="1" applyProtection="1">
      <alignment horizontal="center" vertical="center" wrapText="1"/>
    </xf>
    <xf numFmtId="49" fontId="2" fillId="8" borderId="1" xfId="0" applyNumberFormat="1" applyFont="1" applyFill="1" applyBorder="1" applyAlignment="1" applyProtection="1">
      <alignment horizontal="center" vertical="center" wrapText="1"/>
    </xf>
    <xf numFmtId="49" fontId="2" fillId="8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/>
    <xf numFmtId="49" fontId="12" fillId="8" borderId="9" xfId="0" applyNumberFormat="1" applyFont="1" applyFill="1" applyBorder="1" applyAlignment="1" applyProtection="1">
      <alignment horizontal="left" vertical="center"/>
    </xf>
    <xf numFmtId="49" fontId="12" fillId="8" borderId="1" xfId="0" applyNumberFormat="1" applyFont="1" applyFill="1" applyBorder="1" applyAlignment="1" applyProtection="1">
      <alignment horizontal="left" vertical="center"/>
    </xf>
    <xf numFmtId="49" fontId="12" fillId="8" borderId="1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/>
    <xf numFmtId="49" fontId="2" fillId="0" borderId="21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49" fontId="3" fillId="0" borderId="5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25" fillId="0" borderId="9" xfId="0" applyNumberFormat="1" applyFont="1" applyFill="1" applyBorder="1" applyAlignment="1" applyProtection="1"/>
    <xf numFmtId="49" fontId="25" fillId="0" borderId="1" xfId="0" applyNumberFormat="1" applyFont="1" applyFill="1" applyBorder="1" applyAlignment="1" applyProtection="1"/>
    <xf numFmtId="49" fontId="25" fillId="0" borderId="10" xfId="0" applyNumberFormat="1" applyFont="1" applyFill="1" applyBorder="1" applyAlignment="1" applyProtection="1"/>
    <xf numFmtId="49" fontId="0" fillId="0" borderId="9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49" fontId="0" fillId="0" borderId="10" xfId="0" applyNumberFormat="1" applyFill="1" applyBorder="1" applyAlignment="1" applyProtection="1"/>
    <xf numFmtId="0" fontId="25" fillId="0" borderId="7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25" fillId="0" borderId="11" xfId="0" applyNumberFormat="1" applyFont="1" applyFill="1" applyBorder="1" applyAlignment="1" applyProtection="1">
      <alignment vertical="top" wrapText="1"/>
      <protection locked="0"/>
    </xf>
    <xf numFmtId="49" fontId="25" fillId="0" borderId="12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>
      <alignment horizontal="center" wrapText="1"/>
    </xf>
    <xf numFmtId="49" fontId="20" fillId="0" borderId="1" xfId="0" applyNumberFormat="1" applyFont="1" applyFill="1" applyBorder="1" applyAlignment="1" applyProtection="1">
      <alignment horizontal="center" wrapText="1"/>
    </xf>
    <xf numFmtId="49" fontId="20" fillId="0" borderId="10" xfId="0" applyNumberFormat="1" applyFont="1" applyFill="1" applyBorder="1" applyAlignment="1" applyProtection="1">
      <alignment horizontal="center" wrapText="1"/>
    </xf>
    <xf numFmtId="49" fontId="11" fillId="0" borderId="9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/>
    <xf numFmtId="49" fontId="2" fillId="0" borderId="11" xfId="0" applyNumberFormat="1" applyFont="1" applyBorder="1" applyAlignment="1" applyProtection="1"/>
    <xf numFmtId="49" fontId="11" fillId="0" borderId="12" xfId="0" applyNumberFormat="1" applyFont="1" applyFill="1" applyBorder="1" applyAlignment="1" applyProtection="1"/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" fontId="5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49" fontId="10" fillId="0" borderId="9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0" xfId="0" applyNumberFormat="1" applyFont="1" applyFill="1" applyBorder="1" applyAlignment="1" applyProtection="1">
      <alignment vertical="center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0" fontId="37" fillId="7" borderId="0" xfId="0" applyNumberFormat="1" applyFont="1" applyFill="1" applyBorder="1" applyAlignment="1" applyProtection="1">
      <alignment horizontal="right" vertical="center"/>
    </xf>
    <xf numFmtId="49" fontId="34" fillId="7" borderId="0" xfId="0" applyNumberFormat="1" applyFont="1" applyFill="1" applyBorder="1" applyAlignment="1" applyProtection="1"/>
    <xf numFmtId="49" fontId="36" fillId="7" borderId="0" xfId="0" applyNumberFormat="1" applyFont="1" applyFill="1" applyBorder="1" applyAlignment="1" applyProtection="1"/>
    <xf numFmtId="0" fontId="36" fillId="7" borderId="0" xfId="0" applyFont="1" applyFill="1" applyBorder="1" applyAlignment="1" applyProtection="1"/>
    <xf numFmtId="0" fontId="32" fillId="7" borderId="0" xfId="0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wrapText="1"/>
    </xf>
    <xf numFmtId="49" fontId="12" fillId="0" borderId="0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protection locked="0"/>
    </xf>
    <xf numFmtId="49" fontId="27" fillId="0" borderId="0" xfId="0" applyNumberFormat="1" applyFont="1" applyFill="1" applyBorder="1" applyAlignment="1" applyProtection="1">
      <protection locked="0"/>
    </xf>
    <xf numFmtId="49" fontId="25" fillId="0" borderId="7" xfId="0" applyNumberFormat="1" applyFont="1" applyFill="1" applyBorder="1" applyAlignment="1" applyProtection="1">
      <protection locked="0"/>
    </xf>
    <xf numFmtId="49" fontId="25" fillId="0" borderId="4" xfId="0" applyNumberFormat="1" applyFont="1" applyFill="1" applyBorder="1" applyAlignment="1" applyProtection="1">
      <protection locked="0"/>
    </xf>
    <xf numFmtId="49" fontId="25" fillId="0" borderId="11" xfId="0" applyNumberFormat="1" applyFont="1" applyFill="1" applyBorder="1" applyAlignment="1" applyProtection="1"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25" fillId="0" borderId="7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9" fillId="5" borderId="9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0" xfId="0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/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9" fillId="0" borderId="8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3" xfId="0" applyNumberFormat="1" applyFont="1" applyFill="1" applyBorder="1" applyAlignment="1" applyProtection="1">
      <alignment horizontal="center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49" fontId="20" fillId="0" borderId="7" xfId="0" applyNumberFormat="1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20" fillId="0" borderId="3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/>
    <xf numFmtId="49" fontId="0" fillId="0" borderId="4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protection locked="0"/>
    </xf>
    <xf numFmtId="49" fontId="21" fillId="0" borderId="8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15" fontId="11" fillId="0" borderId="7" xfId="0" applyNumberFormat="1" applyFont="1" applyFill="1" applyBorder="1" applyAlignment="1" applyProtection="1">
      <alignment horizontal="center" vertical="center" wrapText="1"/>
    </xf>
    <xf numFmtId="15" fontId="0" fillId="0" borderId="4" xfId="0" applyNumberFormat="1" applyBorder="1" applyAlignment="1" applyProtection="1">
      <alignment vertical="center"/>
    </xf>
    <xf numFmtId="15" fontId="0" fillId="0" borderId="11" xfId="0" applyNumberFormat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3" xfId="0" applyNumberFormat="1" applyFont="1" applyFill="1" applyBorder="1" applyAlignment="1" applyProtection="1">
      <alignment horizontal="center"/>
    </xf>
    <xf numFmtId="49" fontId="2" fillId="0" borderId="5" xfId="0" applyNumberFormat="1" applyFont="1" applyFill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49" fontId="21" fillId="0" borderId="2" xfId="0" applyNumberFormat="1" applyFont="1" applyFill="1" applyBorder="1" applyAlignment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49" fontId="9" fillId="0" borderId="8" xfId="0" applyNumberFormat="1" applyFont="1" applyFill="1" applyBorder="1" applyAlignment="1" applyProtection="1">
      <alignment vertical="top"/>
    </xf>
    <xf numFmtId="49" fontId="9" fillId="0" borderId="5" xfId="0" applyNumberFormat="1" applyFont="1" applyFill="1" applyBorder="1" applyAlignment="1" applyProtection="1">
      <alignment vertical="top"/>
    </xf>
    <xf numFmtId="0" fontId="0" fillId="0" borderId="6" xfId="0" applyBorder="1" applyAlignment="1" applyProtection="1"/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 applyProtection="1"/>
    <xf numFmtId="49" fontId="2" fillId="0" borderId="8" xfId="0" applyNumberFormat="1" applyFont="1" applyFill="1" applyBorder="1" applyAlignment="1" applyProtection="1">
      <alignment vertical="top" wrapText="1"/>
    </xf>
    <xf numFmtId="49" fontId="9" fillId="0" borderId="5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7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49" fontId="0" fillId="0" borderId="5" xfId="0" applyNumberFormat="1" applyFill="1" applyBorder="1" applyAlignment="1" applyProtection="1">
      <alignment vertical="top"/>
    </xf>
    <xf numFmtId="167" fontId="25" fillId="0" borderId="7" xfId="0" applyNumberFormat="1" applyFont="1" applyFill="1" applyBorder="1" applyAlignment="1" applyProtection="1">
      <alignment horizontal="left" vertical="top"/>
      <protection locked="0"/>
    </xf>
    <xf numFmtId="167" fontId="25" fillId="0" borderId="4" xfId="0" applyNumberFormat="1" applyFont="1" applyFill="1" applyBorder="1" applyAlignment="1" applyProtection="1">
      <alignment horizontal="left" vertical="top"/>
      <protection locked="0"/>
    </xf>
    <xf numFmtId="167" fontId="25" fillId="0" borderId="11" xfId="0" applyNumberFormat="1" applyFont="1" applyFill="1" applyBorder="1" applyAlignment="1" applyProtection="1">
      <alignment horizontal="left" vertical="top"/>
      <protection locked="0"/>
    </xf>
    <xf numFmtId="167" fontId="25" fillId="0" borderId="7" xfId="0" applyNumberFormat="1" applyFont="1" applyFill="1" applyBorder="1" applyAlignment="1" applyProtection="1">
      <alignment horizontal="left"/>
      <protection locked="0"/>
    </xf>
    <xf numFmtId="167" fontId="25" fillId="0" borderId="4" xfId="0" applyNumberFormat="1" applyFont="1" applyFill="1" applyBorder="1" applyAlignment="1" applyProtection="1">
      <alignment horizontal="left"/>
      <protection locked="0"/>
    </xf>
    <xf numFmtId="167" fontId="25" fillId="0" borderId="11" xfId="0" applyNumberFormat="1" applyFont="1" applyFill="1" applyBorder="1" applyAlignment="1" applyProtection="1">
      <alignment horizontal="left"/>
      <protection locked="0"/>
    </xf>
    <xf numFmtId="49" fontId="1" fillId="7" borderId="0" xfId="0" applyNumberFormat="1" applyFont="1" applyFill="1" applyBorder="1" applyAlignment="1" applyProtection="1">
      <alignment horizontal="left" vertical="top" wrapText="1"/>
    </xf>
    <xf numFmtId="49" fontId="0" fillId="7" borderId="0" xfId="0" applyNumberFormat="1" applyFill="1" applyBorder="1" applyAlignment="1" applyProtection="1">
      <alignment horizontal="left" vertical="top"/>
    </xf>
    <xf numFmtId="49" fontId="3" fillId="0" borderId="12" xfId="0" applyNumberFormat="1" applyFont="1" applyFill="1" applyBorder="1" applyAlignment="1" applyProtection="1">
      <alignment horizontal="left"/>
    </xf>
    <xf numFmtId="49" fontId="0" fillId="0" borderId="12" xfId="0" applyNumberFormat="1" applyFill="1" applyBorder="1" applyAlignment="1" applyProtection="1"/>
    <xf numFmtId="49" fontId="1" fillId="7" borderId="0" xfId="0" applyNumberFormat="1" applyFont="1" applyFill="1" applyBorder="1" applyAlignment="1" applyProtection="1">
      <alignment horizontal="left"/>
    </xf>
    <xf numFmtId="49" fontId="0" fillId="7" borderId="0" xfId="0" applyNumberFormat="1" applyFill="1" applyBorder="1" applyAlignment="1" applyProtection="1">
      <alignment horizontal="left"/>
    </xf>
    <xf numFmtId="1" fontId="5" fillId="7" borderId="0" xfId="0" applyNumberFormat="1" applyFont="1" applyFill="1" applyBorder="1" applyAlignment="1" applyProtection="1">
      <alignment horizontal="right" vertical="center"/>
    </xf>
    <xf numFmtId="49" fontId="1" fillId="7" borderId="12" xfId="0" applyNumberFormat="1" applyFont="1" applyFill="1" applyBorder="1" applyAlignment="1" applyProtection="1">
      <alignment horizontal="left"/>
    </xf>
    <xf numFmtId="49" fontId="0" fillId="7" borderId="12" xfId="0" applyNumberFormat="1" applyFill="1" applyBorder="1" applyAlignment="1" applyProtection="1">
      <alignment horizontal="left"/>
    </xf>
    <xf numFmtId="1" fontId="5" fillId="7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49" fontId="0" fillId="0" borderId="6" xfId="0" applyNumberFormat="1" applyFill="1" applyBorder="1" applyAlignment="1" applyProtection="1">
      <alignment vertical="top"/>
    </xf>
    <xf numFmtId="49" fontId="3" fillId="7" borderId="0" xfId="0" applyNumberFormat="1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1" fillId="0" borderId="8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49" fontId="20" fillId="0" borderId="2" xfId="0" applyNumberFormat="1" applyFont="1" applyFill="1" applyBorder="1" applyAlignment="1" applyProtection="1"/>
    <xf numFmtId="3" fontId="4" fillId="4" borderId="12" xfId="0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horizontal="right"/>
    </xf>
    <xf numFmtId="9" fontId="3" fillId="4" borderId="21" xfId="0" applyNumberFormat="1" applyFont="1" applyFill="1" applyBorder="1" applyAlignment="1" applyProtection="1">
      <alignment vertical="center"/>
    </xf>
    <xf numFmtId="9" fontId="0" fillId="0" borderId="21" xfId="0" applyNumberFormat="1" applyBorder="1" applyAlignment="1" applyProtection="1">
      <alignment vertical="center"/>
    </xf>
    <xf numFmtId="9" fontId="0" fillId="0" borderId="22" xfId="0" applyNumberFormat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2" fillId="0" borderId="12" xfId="0" quotePrefix="1" applyNumberFormat="1" applyFont="1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3" fontId="4" fillId="4" borderId="10" xfId="0" applyNumberFormat="1" applyFont="1" applyFill="1" applyBorder="1" applyAlignment="1" applyProtection="1">
      <alignment vertical="center"/>
    </xf>
    <xf numFmtId="49" fontId="2" fillId="7" borderId="12" xfId="0" quotePrefix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" fillId="5" borderId="9" xfId="0" applyFont="1" applyFill="1" applyBorder="1" applyAlignment="1" applyProtection="1">
      <alignment vertical="center" wrapText="1"/>
    </xf>
    <xf numFmtId="49" fontId="10" fillId="0" borderId="9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0" fontId="28" fillId="0" borderId="16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165" fontId="0" fillId="0" borderId="0" xfId="0" applyNumberFormat="1" applyBorder="1" applyAlignment="1">
      <alignment horizontal="right"/>
    </xf>
    <xf numFmtId="0" fontId="0" fillId="0" borderId="0" xfId="0" applyBorder="1" applyAlignment="1"/>
    <xf numFmtId="165" fontId="0" fillId="0" borderId="9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9" fontId="0" fillId="0" borderId="9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5" fontId="1" fillId="0" borderId="1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10" fillId="0" borderId="8" xfId="0" applyFont="1" applyBorder="1" applyAlignment="1"/>
    <xf numFmtId="0" fontId="10" fillId="0" borderId="5" xfId="0" applyFont="1" applyBorder="1" applyAlignment="1"/>
    <xf numFmtId="0" fontId="10" fillId="0" borderId="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7" fontId="0" fillId="4" borderId="5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0" fillId="2" borderId="5" xfId="0" applyFill="1" applyBorder="1" applyAlignment="1"/>
    <xf numFmtId="0" fontId="0" fillId="2" borderId="6" xfId="0" applyFill="1" applyBorder="1" applyAlignment="1"/>
    <xf numFmtId="165" fontId="9" fillId="0" borderId="12" xfId="0" applyNumberFormat="1" applyFont="1" applyBorder="1" applyAlignment="1">
      <alignment horizontal="center"/>
    </xf>
    <xf numFmtId="0" fontId="16" fillId="0" borderId="9" xfId="0" applyFont="1" applyBorder="1" applyAlignment="1"/>
    <xf numFmtId="0" fontId="0" fillId="0" borderId="10" xfId="0" applyBorder="1" applyAlignment="1"/>
    <xf numFmtId="0" fontId="4" fillId="5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7" fontId="2" fillId="0" borderId="9" xfId="0" applyNumberFormat="1" applyFont="1" applyBorder="1" applyAlignment="1" applyProtection="1">
      <alignment horizontal="center"/>
    </xf>
    <xf numFmtId="167" fontId="2" fillId="0" borderId="1" xfId="0" applyNumberFormat="1" applyFont="1" applyBorder="1" applyAlignment="1" applyProtection="1">
      <alignment horizontal="center"/>
    </xf>
    <xf numFmtId="167" fontId="2" fillId="0" borderId="10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top"/>
      <protection locked="0"/>
    </xf>
    <xf numFmtId="167" fontId="0" fillId="0" borderId="5" xfId="0" applyNumberFormat="1" applyFill="1" applyBorder="1" applyAlignment="1" applyProtection="1">
      <alignment wrapText="1"/>
      <protection locked="0"/>
    </xf>
    <xf numFmtId="167" fontId="0" fillId="0" borderId="5" xfId="0" applyNumberFormat="1" applyFill="1" applyBorder="1" applyAlignment="1">
      <alignment wrapText="1"/>
    </xf>
    <xf numFmtId="167" fontId="0" fillId="0" borderId="6" xfId="0" applyNumberFormat="1" applyFill="1" applyBorder="1" applyAlignment="1">
      <alignment wrapText="1"/>
    </xf>
    <xf numFmtId="167" fontId="0" fillId="0" borderId="4" xfId="0" applyNumberFormat="1" applyFill="1" applyBorder="1" applyAlignment="1">
      <alignment wrapText="1"/>
    </xf>
    <xf numFmtId="167" fontId="0" fillId="0" borderId="11" xfId="0" applyNumberFormat="1" applyFill="1" applyBorder="1" applyAlignment="1">
      <alignment wrapText="1"/>
    </xf>
    <xf numFmtId="0" fontId="0" fillId="0" borderId="8" xfId="0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0" xfId="0" applyFont="1" applyBorder="1" applyAlignment="1" applyProtection="1">
      <alignment horizontal="left"/>
    </xf>
    <xf numFmtId="0" fontId="0" fillId="0" borderId="7" xfId="0" applyBorder="1" applyAlignment="1" applyProtection="1">
      <protection locked="0"/>
    </xf>
    <xf numFmtId="0" fontId="0" fillId="0" borderId="4" xfId="0" applyBorder="1" applyAlignment="1"/>
    <xf numFmtId="0" fontId="12" fillId="0" borderId="0" xfId="0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left" wrapText="1"/>
    </xf>
    <xf numFmtId="3" fontId="20" fillId="0" borderId="0" xfId="0" applyNumberFormat="1" applyFont="1" applyBorder="1" applyAlignment="1" applyProtection="1">
      <alignment horizontal="left" wrapText="1"/>
    </xf>
    <xf numFmtId="0" fontId="9" fillId="0" borderId="0" xfId="0" applyFont="1" applyBorder="1" applyAlignment="1">
      <alignment wrapText="1"/>
    </xf>
    <xf numFmtId="0" fontId="16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/>
    </xf>
    <xf numFmtId="0" fontId="9" fillId="0" borderId="4" xfId="0" applyFont="1" applyBorder="1" applyAlignment="1"/>
    <xf numFmtId="0" fontId="9" fillId="0" borderId="0" xfId="0" applyFont="1" applyBorder="1" applyAlignment="1"/>
    <xf numFmtId="14" fontId="2" fillId="0" borderId="0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ill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" xfId="0" applyFont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0" xfId="0" applyFont="1" applyAlignment="1"/>
    <xf numFmtId="0" fontId="25" fillId="0" borderId="3" xfId="0" applyFont="1" applyBorder="1" applyAlignment="1"/>
    <xf numFmtId="0" fontId="0" fillId="4" borderId="4" xfId="0" applyFill="1" applyBorder="1" applyAlignment="1">
      <alignment horizontal="left"/>
    </xf>
    <xf numFmtId="0" fontId="22" fillId="0" borderId="2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10" fillId="0" borderId="5" xfId="0" applyFont="1" applyFill="1" applyBorder="1" applyAlignment="1">
      <alignment vertical="center"/>
    </xf>
    <xf numFmtId="0" fontId="0" fillId="0" borderId="2" xfId="0" applyBorder="1" applyAlignment="1"/>
    <xf numFmtId="1" fontId="2" fillId="0" borderId="0" xfId="0" applyNumberFormat="1" applyFont="1" applyBorder="1" applyAlignment="1">
      <alignment horizontal="center"/>
    </xf>
    <xf numFmtId="1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Alignment="1"/>
    <xf numFmtId="167" fontId="0" fillId="4" borderId="4" xfId="0" applyNumberFormat="1" applyFill="1" applyBorder="1" applyAlignment="1">
      <alignment horizontal="left"/>
    </xf>
    <xf numFmtId="167" fontId="0" fillId="0" borderId="4" xfId="0" applyNumberFormat="1" applyBorder="1" applyAlignment="1"/>
    <xf numFmtId="0" fontId="21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3" fontId="10" fillId="0" borderId="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1" fontId="10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/>
    <xf numFmtId="0" fontId="5" fillId="0" borderId="10" xfId="0" applyFont="1" applyBorder="1" applyAlignment="1"/>
    <xf numFmtId="0" fontId="23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12" fillId="0" borderId="7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23" fillId="0" borderId="1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2" fillId="0" borderId="0" xfId="2" applyNumberFormat="1" applyFont="1" applyBorder="1" applyAlignment="1" applyProtection="1">
      <alignment horizontal="left"/>
    </xf>
    <xf numFmtId="0" fontId="0" fillId="0" borderId="0" xfId="0" applyNumberFormat="1" applyBorder="1" applyAlignment="1">
      <alignment horizontal="left"/>
    </xf>
    <xf numFmtId="0" fontId="20" fillId="0" borderId="9" xfId="0" applyFont="1" applyBorder="1" applyAlignment="1">
      <alignment vertical="center" shrinkToFit="1"/>
    </xf>
    <xf numFmtId="0" fontId="21" fillId="0" borderId="1" xfId="0" applyFont="1" applyBorder="1" applyAlignment="1">
      <alignment shrinkToFit="1"/>
    </xf>
    <xf numFmtId="1" fontId="10" fillId="0" borderId="1" xfId="0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/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0" fillId="0" borderId="0" xfId="0" quotePrefix="1" applyBorder="1" applyAlignment="1">
      <alignment horizontal="center"/>
    </xf>
    <xf numFmtId="0" fontId="2" fillId="0" borderId="10" xfId="0" applyFont="1" applyBorder="1" applyAlignment="1"/>
    <xf numFmtId="0" fontId="2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165" fontId="0" fillId="0" borderId="9" xfId="0" applyNumberFormat="1" applyBorder="1" applyAlignment="1"/>
    <xf numFmtId="165" fontId="0" fillId="0" borderId="1" xfId="0" applyNumberFormat="1" applyBorder="1" applyAlignment="1"/>
    <xf numFmtId="165" fontId="0" fillId="0" borderId="10" xfId="0" applyNumberFormat="1" applyBorder="1" applyAlignment="1"/>
    <xf numFmtId="0" fontId="12" fillId="0" borderId="2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0" fillId="0" borderId="0" xfId="0" applyNumberFormat="1" applyBorder="1" applyAlignment="1"/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9" fontId="0" fillId="0" borderId="9" xfId="0" applyNumberFormat="1" applyBorder="1" applyAlignment="1"/>
    <xf numFmtId="9" fontId="0" fillId="0" borderId="1" xfId="0" applyNumberFormat="1" applyBorder="1" applyAlignment="1"/>
    <xf numFmtId="9" fontId="0" fillId="0" borderId="10" xfId="0" applyNumberFormat="1" applyBorder="1" applyAlignment="1"/>
    <xf numFmtId="9" fontId="0" fillId="0" borderId="0" xfId="0" applyNumberFormat="1" applyBorder="1" applyAlignment="1"/>
    <xf numFmtId="1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8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Alignment="1"/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/>
    </xf>
    <xf numFmtId="0" fontId="25" fillId="0" borderId="8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49" fontId="11" fillId="0" borderId="0" xfId="0" applyNumberFormat="1" applyFont="1" applyBorder="1" applyAlignment="1">
      <alignment wrapText="1"/>
    </xf>
  </cellXfs>
  <cellStyles count="3">
    <cellStyle name="Standard" xfId="0" builtinId="0"/>
    <cellStyle name="Standard_Le-2002-09-Gemeinden" xfId="1" xr:uid="{00000000-0005-0000-0000-000001000000}"/>
    <cellStyle name="Währung" xfId="2" builtinId="4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6" dropStyle="combo" dx="20" fmlaLink="GKAuswahl" fmlaRange="GKListe" sel="1" val="0"/>
</file>

<file path=xl/ctrlProps/ctrlProp10.xml><?xml version="1.0" encoding="utf-8"?>
<formControlPr xmlns="http://schemas.microsoft.com/office/spreadsheetml/2009/9/main" objectType="Radio" firstButton="1" fmlaLink="Chancengleichheitauswahl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Nachhaltigoekoauswahl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Drop" dropLines="5" dropStyle="combo" dx="20" fmlaLink="Aktionauswahl" fmlaRange="Aktionliste" sel="2" val="0"/>
</file>

<file path=xl/ctrlProps/ctrlProp20.xml><?xml version="1.0" encoding="utf-8"?>
<formControlPr xmlns="http://schemas.microsoft.com/office/spreadsheetml/2009/9/main" objectType="Radio" firstButton="1" fmlaLink="Transnationalauswahl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Nachhaltigsozialauswahl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Nachhaltigoekoloauswahl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Drop" dropLines="11" dropStyle="combo" dx="20" fmlaLink="Foeauswahl" fmlaRange="Fansatzliste" sel="2" val="0"/>
</file>

<file path=xl/ctrlProps/ctrlProp30.xml><?xml version="1.0" encoding="utf-8"?>
<formControlPr xmlns="http://schemas.microsoft.com/office/spreadsheetml/2009/9/main" objectType="Radio" firstButton="1" fmlaLink="Entschuldung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EuropaIch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Akauswahl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checked="Checked" firstButton="1" fmlaLink="edwdAuswahl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0" fmlaLink="ZGauswahl" fmlaRange="ZGliste" sel="2" val="0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Drop" dropLines="22" dropStyle="combo" dx="20" fmlaLink="Dokuaktionauswahl" fmlaRange="AktionlisteGesamt" noThreeD="1" sel="1" val="0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fmlaLink="DOKU_Verk!$A$5" lockText="1" noThreeD="1"/>
</file>

<file path=xl/ctrlProps/ctrlProp48.xml><?xml version="1.0" encoding="utf-8"?>
<formControlPr xmlns="http://schemas.microsoft.com/office/spreadsheetml/2009/9/main" objectType="CheckBox" fmlaLink="DOKU_Verk!$A$6" lockText="1" noThreeD="1"/>
</file>

<file path=xl/ctrlProps/ctrlProp49.xml><?xml version="1.0" encoding="utf-8"?>
<formControlPr xmlns="http://schemas.microsoft.com/office/spreadsheetml/2009/9/main" objectType="CheckBox" fmlaLink="DOKU_Verk!$A$7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fmlaLink="DOKU_Verk!$C$5" lockText="1" noThreeD="1"/>
</file>

<file path=xl/ctrlProps/ctrlProp51.xml><?xml version="1.0" encoding="utf-8"?>
<formControlPr xmlns="http://schemas.microsoft.com/office/spreadsheetml/2009/9/main" objectType="CheckBox" fmlaLink="DOKU_Verk!$C$6" lockText="1" noThreeD="1"/>
</file>

<file path=xl/ctrlProps/ctrlProp52.xml><?xml version="1.0" encoding="utf-8"?>
<formControlPr xmlns="http://schemas.microsoft.com/office/spreadsheetml/2009/9/main" objectType="CheckBox" fmlaLink="DOKU_Verk!$C$7" lockText="1" noThreeD="1"/>
</file>

<file path=xl/ctrlProps/ctrlProp53.xml><?xml version="1.0" encoding="utf-8"?>
<formControlPr xmlns="http://schemas.microsoft.com/office/spreadsheetml/2009/9/main" objectType="CheckBox" fmlaLink="DOKU_Verk!$E$7" lockText="1" noThreeD="1"/>
</file>

<file path=xl/ctrlProps/ctrlProp54.xml><?xml version="1.0" encoding="utf-8"?>
<formControlPr xmlns="http://schemas.microsoft.com/office/spreadsheetml/2009/9/main" objectType="CheckBox" fmlaLink="DOKU_Verk!$E$5" lockText="1" noThreeD="1"/>
</file>

<file path=xl/ctrlProps/ctrlProp55.xml><?xml version="1.0" encoding="utf-8"?>
<formControlPr xmlns="http://schemas.microsoft.com/office/spreadsheetml/2009/9/main" objectType="CheckBox" fmlaLink="DOKU_Verk!$E$6" lockText="1" noThreeD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Drop" dropLines="5" dropStyle="combo" dx="20" fmlaRange="DOKU_Verk!$D$28:$D$32" noThreeD="1" sel="0" val="0"/>
</file>

<file path=xl/ctrlProps/ctrlProp59.xml><?xml version="1.0" encoding="utf-8"?>
<formControlPr xmlns="http://schemas.microsoft.com/office/spreadsheetml/2009/9/main" objectType="CheckBox" fmlaLink="DOKU_Verk!$G$7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fmlaLink="DOKU_Verk!$G$5" lockText="1" noThreeD="1"/>
</file>

<file path=xl/ctrlProps/ctrlProp61.xml><?xml version="1.0" encoding="utf-8"?>
<formControlPr xmlns="http://schemas.microsoft.com/office/spreadsheetml/2009/9/main" objectType="CheckBox" fmlaLink="DOKU_Verk!$G$6" lockText="1" noThreeD="1"/>
</file>

<file path=xl/ctrlProps/ctrlProp62.xml><?xml version="1.0" encoding="utf-8"?>
<formControlPr xmlns="http://schemas.microsoft.com/office/spreadsheetml/2009/9/main" objectType="Drop" dropLines="36" dropStyle="combo" dx="20" fmlaLink="Dokufansatzauswahl" fmlaRange="FAnsatz!$Q$2:$Q$23" noThreeD="1" sel="1" val="0"/>
</file>

<file path=xl/ctrlProps/ctrlProp63.xml><?xml version="1.0" encoding="utf-8"?>
<formControlPr xmlns="http://schemas.microsoft.com/office/spreadsheetml/2009/9/main" objectType="CheckBox" fmlaLink="DOKU_Verk!$I$5" lockText="1" noThreeD="1"/>
</file>

<file path=xl/ctrlProps/ctrlProp64.xml><?xml version="1.0" encoding="utf-8"?>
<formControlPr xmlns="http://schemas.microsoft.com/office/spreadsheetml/2009/9/main" objectType="CheckBox" fmlaLink="DOKU_Verk!$I$6" lockText="1" noThreeD="1"/>
</file>

<file path=xl/ctrlProps/ctrlProp65.xml><?xml version="1.0" encoding="utf-8"?>
<formControlPr xmlns="http://schemas.microsoft.com/office/spreadsheetml/2009/9/main" objectType="CheckBox" fmlaLink="DOKU_Verk!$I$7" lockText="1" noThreeD="1"/>
</file>

<file path=xl/ctrlProps/ctrlProp66.xml><?xml version="1.0" encoding="utf-8"?>
<formControlPr xmlns="http://schemas.microsoft.com/office/spreadsheetml/2009/9/main" objectType="CheckBox" fmlaLink="DOKU_Verk!$S$5" lockText="1" noThreeD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firstButton="1" fmlaLink="TNrlpauswahl" lockText="1" noThreeD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Radio" firstButton="1" fmlaLink="Prioauswahl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BewertungBS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Drop" dropLines="3" dropStyle="combo" dx="20" fmlaRange="DOKU_Verk!$D$23:$D$25" sel="0" val="0"/>
</file>

<file path=xl/ctrlProps/ctrlProp85.xml><?xml version="1.0" encoding="utf-8"?>
<formControlPr xmlns="http://schemas.microsoft.com/office/spreadsheetml/2009/9/main" objectType="Drop" dropLines="12" dropStyle="combo" dx="20" fmlaLink="Auswahl!$C$29" fmlaRange="Bedarfbest!$A$1:$A$11" noThreeD="1" sel="1" val="0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6</xdr:row>
      <xdr:rowOff>0</xdr:rowOff>
    </xdr:from>
    <xdr:to>
      <xdr:col>0</xdr:col>
      <xdr:colOff>30480</xdr:colOff>
      <xdr:row>6</xdr:row>
      <xdr:rowOff>160020</xdr:rowOff>
    </xdr:to>
    <xdr:sp macro="" textlink="">
      <xdr:nvSpPr>
        <xdr:cNvPr id="14316" name="Rectangle 360">
          <a:extLst>
            <a:ext uri="{FF2B5EF4-FFF2-40B4-BE49-F238E27FC236}">
              <a16:creationId xmlns:a16="http://schemas.microsoft.com/office/drawing/2014/main" id="{00000000-0008-0000-0000-0000EC370000}"/>
            </a:ext>
          </a:extLst>
        </xdr:cNvPr>
        <xdr:cNvSpPr>
          <a:spLocks noChangeArrowheads="1"/>
        </xdr:cNvSpPr>
      </xdr:nvSpPr>
      <xdr:spPr bwMode="auto">
        <a:xfrm>
          <a:off x="30480" y="115062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209550</xdr:colOff>
      <xdr:row>6</xdr:row>
      <xdr:rowOff>0</xdr:rowOff>
    </xdr:from>
    <xdr:ext cx="35266" cy="162160"/>
    <xdr:sp macro="" textlink="">
      <xdr:nvSpPr>
        <xdr:cNvPr id="2411" name="Rectangle 363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rrowheads="1"/>
        </xdr:cNvSpPr>
      </xdr:nvSpPr>
      <xdr:spPr bwMode="auto">
        <a:xfrm>
          <a:off x="1527810" y="1150620"/>
          <a:ext cx="35266" cy="162160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20</xdr:col>
          <xdr:colOff>209550</xdr:colOff>
          <xdr:row>36</xdr:row>
          <xdr:rowOff>0</xdr:rowOff>
        </xdr:to>
        <xdr:sp macro="" textlink="">
          <xdr:nvSpPr>
            <xdr:cNvPr id="2130" name="GeK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0</xdr:rowOff>
        </xdr:from>
        <xdr:to>
          <xdr:col>27</xdr:col>
          <xdr:colOff>180975</xdr:colOff>
          <xdr:row>40</xdr:row>
          <xdr:rowOff>209550</xdr:rowOff>
        </xdr:to>
        <xdr:sp macro="" textlink="">
          <xdr:nvSpPr>
            <xdr:cNvPr id="2213" name="Aktion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0</xdr:rowOff>
        </xdr:from>
        <xdr:to>
          <xdr:col>27</xdr:col>
          <xdr:colOff>180975</xdr:colOff>
          <xdr:row>42</xdr:row>
          <xdr:rowOff>209550</xdr:rowOff>
        </xdr:to>
        <xdr:sp macro="" textlink="">
          <xdr:nvSpPr>
            <xdr:cNvPr id="2231" name="Fansatz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57150</xdr:rowOff>
        </xdr:from>
        <xdr:to>
          <xdr:col>26</xdr:col>
          <xdr:colOff>9525</xdr:colOff>
          <xdr:row>44</xdr:row>
          <xdr:rowOff>238125</xdr:rowOff>
        </xdr:to>
        <xdr:sp macro="" textlink="">
          <xdr:nvSpPr>
            <xdr:cNvPr id="2234" name="ZG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22</xdr:col>
          <xdr:colOff>9525</xdr:colOff>
          <xdr:row>34</xdr:row>
          <xdr:rowOff>0</xdr:rowOff>
        </xdr:to>
        <xdr:sp macro="" textlink="">
          <xdr:nvSpPr>
            <xdr:cNvPr id="2399" name="wdedauswahl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9525</xdr:rowOff>
        </xdr:from>
        <xdr:to>
          <xdr:col>27</xdr:col>
          <xdr:colOff>400050</xdr:colOff>
          <xdr:row>49</xdr:row>
          <xdr:rowOff>9525</xdr:rowOff>
        </xdr:to>
        <xdr:sp macro="" textlink="">
          <xdr:nvSpPr>
            <xdr:cNvPr id="2414" name="TNrlp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9525</xdr:rowOff>
        </xdr:from>
        <xdr:to>
          <xdr:col>12</xdr:col>
          <xdr:colOff>76200</xdr:colOff>
          <xdr:row>48</xdr:row>
          <xdr:rowOff>38100</xdr:rowOff>
        </xdr:to>
        <xdr:sp macro="" textlink="">
          <xdr:nvSpPr>
            <xdr:cNvPr id="2415" name="Option Button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</xdr:row>
          <xdr:rowOff>38100</xdr:rowOff>
        </xdr:from>
        <xdr:to>
          <xdr:col>16</xdr:col>
          <xdr:colOff>171450</xdr:colOff>
          <xdr:row>48</xdr:row>
          <xdr:rowOff>19050</xdr:rowOff>
        </xdr:to>
        <xdr:sp macro="" textlink="">
          <xdr:nvSpPr>
            <xdr:cNvPr id="2416" name="Option Button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145</xdr:row>
          <xdr:rowOff>0</xdr:rowOff>
        </xdr:from>
        <xdr:to>
          <xdr:col>12</xdr:col>
          <xdr:colOff>0</xdr:colOff>
          <xdr:row>148</xdr:row>
          <xdr:rowOff>9525</xdr:rowOff>
        </xdr:to>
        <xdr:sp macro="" textlink="">
          <xdr:nvSpPr>
            <xdr:cNvPr id="2417" name="chancengleichheitauswahl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145</xdr:row>
          <xdr:rowOff>95250</xdr:rowOff>
        </xdr:from>
        <xdr:to>
          <xdr:col>9</xdr:col>
          <xdr:colOff>152400</xdr:colOff>
          <xdr:row>146</xdr:row>
          <xdr:rowOff>0</xdr:rowOff>
        </xdr:to>
        <xdr:sp macro="" textlink="">
          <xdr:nvSpPr>
            <xdr:cNvPr id="2418" name="Option Button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146</xdr:row>
          <xdr:rowOff>47625</xdr:rowOff>
        </xdr:from>
        <xdr:to>
          <xdr:col>9</xdr:col>
          <xdr:colOff>152400</xdr:colOff>
          <xdr:row>146</xdr:row>
          <xdr:rowOff>266700</xdr:rowOff>
        </xdr:to>
        <xdr:sp macro="" textlink="">
          <xdr:nvSpPr>
            <xdr:cNvPr id="2419" name="Option Button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147</xdr:row>
          <xdr:rowOff>76200</xdr:rowOff>
        </xdr:from>
        <xdr:to>
          <xdr:col>9</xdr:col>
          <xdr:colOff>152400</xdr:colOff>
          <xdr:row>147</xdr:row>
          <xdr:rowOff>295275</xdr:rowOff>
        </xdr:to>
        <xdr:sp macro="" textlink="">
          <xdr:nvSpPr>
            <xdr:cNvPr id="2420" name="Option Button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145</xdr:row>
          <xdr:rowOff>0</xdr:rowOff>
        </xdr:from>
        <xdr:to>
          <xdr:col>16</xdr:col>
          <xdr:colOff>0</xdr:colOff>
          <xdr:row>148</xdr:row>
          <xdr:rowOff>0</xdr:rowOff>
        </xdr:to>
        <xdr:sp macro="" textlink="">
          <xdr:nvSpPr>
            <xdr:cNvPr id="2421" name="nachhaltigoekoauswahl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145</xdr:row>
          <xdr:rowOff>104775</xdr:rowOff>
        </xdr:from>
        <xdr:to>
          <xdr:col>14</xdr:col>
          <xdr:colOff>142875</xdr:colOff>
          <xdr:row>146</xdr:row>
          <xdr:rowOff>0</xdr:rowOff>
        </xdr:to>
        <xdr:sp macro="" textlink="">
          <xdr:nvSpPr>
            <xdr:cNvPr id="2422" name="Option Button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146</xdr:row>
          <xdr:rowOff>47625</xdr:rowOff>
        </xdr:from>
        <xdr:to>
          <xdr:col>14</xdr:col>
          <xdr:colOff>142875</xdr:colOff>
          <xdr:row>146</xdr:row>
          <xdr:rowOff>266700</xdr:rowOff>
        </xdr:to>
        <xdr:sp macro="" textlink="">
          <xdr:nvSpPr>
            <xdr:cNvPr id="2423" name="Option Button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147</xdr:row>
          <xdr:rowOff>47625</xdr:rowOff>
        </xdr:from>
        <xdr:to>
          <xdr:col>14</xdr:col>
          <xdr:colOff>152400</xdr:colOff>
          <xdr:row>147</xdr:row>
          <xdr:rowOff>266700</xdr:rowOff>
        </xdr:to>
        <xdr:sp macro="" textlink="">
          <xdr:nvSpPr>
            <xdr:cNvPr id="2424" name="Option Button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145</xdr:row>
          <xdr:rowOff>0</xdr:rowOff>
        </xdr:from>
        <xdr:to>
          <xdr:col>20</xdr:col>
          <xdr:colOff>9525</xdr:colOff>
          <xdr:row>148</xdr:row>
          <xdr:rowOff>0</xdr:rowOff>
        </xdr:to>
        <xdr:sp macro="" textlink="">
          <xdr:nvSpPr>
            <xdr:cNvPr id="2425" name="nachhaltigoekolauswahl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145</xdr:row>
          <xdr:rowOff>0</xdr:rowOff>
        </xdr:from>
        <xdr:to>
          <xdr:col>24</xdr:col>
          <xdr:colOff>9525</xdr:colOff>
          <xdr:row>148</xdr:row>
          <xdr:rowOff>0</xdr:rowOff>
        </xdr:to>
        <xdr:sp macro="" textlink="">
          <xdr:nvSpPr>
            <xdr:cNvPr id="2426" name="nachhaltigsozialauswahl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145</xdr:row>
          <xdr:rowOff>0</xdr:rowOff>
        </xdr:from>
        <xdr:to>
          <xdr:col>27</xdr:col>
          <xdr:colOff>390525</xdr:colOff>
          <xdr:row>148</xdr:row>
          <xdr:rowOff>9525</xdr:rowOff>
        </xdr:to>
        <xdr:sp macro="" textlink="">
          <xdr:nvSpPr>
            <xdr:cNvPr id="2428" name="transnationalauswahl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145</xdr:row>
          <xdr:rowOff>85725</xdr:rowOff>
        </xdr:from>
        <xdr:to>
          <xdr:col>26</xdr:col>
          <xdr:colOff>276225</xdr:colOff>
          <xdr:row>146</xdr:row>
          <xdr:rowOff>0</xdr:rowOff>
        </xdr:to>
        <xdr:sp macro="" textlink="">
          <xdr:nvSpPr>
            <xdr:cNvPr id="2429" name="Option Button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146</xdr:row>
          <xdr:rowOff>28575</xdr:rowOff>
        </xdr:from>
        <xdr:to>
          <xdr:col>26</xdr:col>
          <xdr:colOff>276225</xdr:colOff>
          <xdr:row>146</xdr:row>
          <xdr:rowOff>247650</xdr:rowOff>
        </xdr:to>
        <xdr:sp macro="" textlink="">
          <xdr:nvSpPr>
            <xdr:cNvPr id="2430" name="Option Button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238125</xdr:colOff>
          <xdr:row>147</xdr:row>
          <xdr:rowOff>47625</xdr:rowOff>
        </xdr:from>
        <xdr:to>
          <xdr:col>27</xdr:col>
          <xdr:colOff>0</xdr:colOff>
          <xdr:row>147</xdr:row>
          <xdr:rowOff>266700</xdr:rowOff>
        </xdr:to>
        <xdr:sp macro="" textlink="">
          <xdr:nvSpPr>
            <xdr:cNvPr id="2431" name="Option Button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145</xdr:row>
          <xdr:rowOff>95250</xdr:rowOff>
        </xdr:from>
        <xdr:to>
          <xdr:col>22</xdr:col>
          <xdr:colOff>133350</xdr:colOff>
          <xdr:row>146</xdr:row>
          <xdr:rowOff>0</xdr:rowOff>
        </xdr:to>
        <xdr:sp macro="" textlink="">
          <xdr:nvSpPr>
            <xdr:cNvPr id="2432" name="Option Button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146</xdr:row>
          <xdr:rowOff>38100</xdr:rowOff>
        </xdr:from>
        <xdr:to>
          <xdr:col>22</xdr:col>
          <xdr:colOff>114300</xdr:colOff>
          <xdr:row>146</xdr:row>
          <xdr:rowOff>257175</xdr:rowOff>
        </xdr:to>
        <xdr:sp macro="" textlink="">
          <xdr:nvSpPr>
            <xdr:cNvPr id="2433" name="Option Button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147</xdr:row>
          <xdr:rowOff>66675</xdr:rowOff>
        </xdr:from>
        <xdr:to>
          <xdr:col>22</xdr:col>
          <xdr:colOff>133350</xdr:colOff>
          <xdr:row>147</xdr:row>
          <xdr:rowOff>285750</xdr:rowOff>
        </xdr:to>
        <xdr:sp macro="" textlink="">
          <xdr:nvSpPr>
            <xdr:cNvPr id="2434" name="Option Button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145</xdr:row>
          <xdr:rowOff>76200</xdr:rowOff>
        </xdr:from>
        <xdr:to>
          <xdr:col>18</xdr:col>
          <xdr:colOff>142875</xdr:colOff>
          <xdr:row>146</xdr:row>
          <xdr:rowOff>0</xdr:rowOff>
        </xdr:to>
        <xdr:sp macro="" textlink="">
          <xdr:nvSpPr>
            <xdr:cNvPr id="2435" name="Option Button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146</xdr:row>
          <xdr:rowOff>38100</xdr:rowOff>
        </xdr:from>
        <xdr:to>
          <xdr:col>18</xdr:col>
          <xdr:colOff>142875</xdr:colOff>
          <xdr:row>146</xdr:row>
          <xdr:rowOff>257175</xdr:rowOff>
        </xdr:to>
        <xdr:sp macro="" textlink="">
          <xdr:nvSpPr>
            <xdr:cNvPr id="2436" name="Option Button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147</xdr:row>
          <xdr:rowOff>66675</xdr:rowOff>
        </xdr:from>
        <xdr:to>
          <xdr:col>18</xdr:col>
          <xdr:colOff>152400</xdr:colOff>
          <xdr:row>147</xdr:row>
          <xdr:rowOff>285750</xdr:rowOff>
        </xdr:to>
        <xdr:sp macro="" textlink="">
          <xdr:nvSpPr>
            <xdr:cNvPr id="2437" name="Option Button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155</xdr:row>
          <xdr:rowOff>19050</xdr:rowOff>
        </xdr:from>
        <xdr:to>
          <xdr:col>8</xdr:col>
          <xdr:colOff>0</xdr:colOff>
          <xdr:row>157</xdr:row>
          <xdr:rowOff>9525</xdr:rowOff>
        </xdr:to>
        <xdr:sp macro="" textlink="">
          <xdr:nvSpPr>
            <xdr:cNvPr id="2439" name="Group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155</xdr:row>
          <xdr:rowOff>47625</xdr:rowOff>
        </xdr:from>
        <xdr:to>
          <xdr:col>3</xdr:col>
          <xdr:colOff>171450</xdr:colOff>
          <xdr:row>156</xdr:row>
          <xdr:rowOff>95250</xdr:rowOff>
        </xdr:to>
        <xdr:sp macro="" textlink="">
          <xdr:nvSpPr>
            <xdr:cNvPr id="2440" name="Option Button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155</xdr:row>
          <xdr:rowOff>38100</xdr:rowOff>
        </xdr:from>
        <xdr:to>
          <xdr:col>7</xdr:col>
          <xdr:colOff>57150</xdr:colOff>
          <xdr:row>156</xdr:row>
          <xdr:rowOff>114300</xdr:rowOff>
        </xdr:to>
        <xdr:sp macro="" textlink="">
          <xdr:nvSpPr>
            <xdr:cNvPr id="2441" name="Option Button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158</xdr:row>
          <xdr:rowOff>152400</xdr:rowOff>
        </xdr:from>
        <xdr:to>
          <xdr:col>8</xdr:col>
          <xdr:colOff>19050</xdr:colOff>
          <xdr:row>162</xdr:row>
          <xdr:rowOff>0</xdr:rowOff>
        </xdr:to>
        <xdr:sp macro="" textlink="">
          <xdr:nvSpPr>
            <xdr:cNvPr id="2443" name="Group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159</xdr:row>
          <xdr:rowOff>19050</xdr:rowOff>
        </xdr:from>
        <xdr:to>
          <xdr:col>3</xdr:col>
          <xdr:colOff>95250</xdr:colOff>
          <xdr:row>160</xdr:row>
          <xdr:rowOff>85725</xdr:rowOff>
        </xdr:to>
        <xdr:sp macro="" textlink="">
          <xdr:nvSpPr>
            <xdr:cNvPr id="2444" name="Option Button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159</xdr:row>
          <xdr:rowOff>19050</xdr:rowOff>
        </xdr:from>
        <xdr:to>
          <xdr:col>5</xdr:col>
          <xdr:colOff>47625</xdr:colOff>
          <xdr:row>160</xdr:row>
          <xdr:rowOff>76200</xdr:rowOff>
        </xdr:to>
        <xdr:sp macro="" textlink="">
          <xdr:nvSpPr>
            <xdr:cNvPr id="2445" name="Option Button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21</xdr:col>
          <xdr:colOff>9525</xdr:colOff>
          <xdr:row>26</xdr:row>
          <xdr:rowOff>9525</xdr:rowOff>
        </xdr:to>
        <xdr:sp macro="" textlink="">
          <xdr:nvSpPr>
            <xdr:cNvPr id="2453" name="Group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57150</xdr:rowOff>
        </xdr:from>
        <xdr:to>
          <xdr:col>13</xdr:col>
          <xdr:colOff>95250</xdr:colOff>
          <xdr:row>25</xdr:row>
          <xdr:rowOff>247650</xdr:rowOff>
        </xdr:to>
        <xdr:sp macro="" textlink="">
          <xdr:nvSpPr>
            <xdr:cNvPr id="2458" name="Option Button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76200</xdr:rowOff>
        </xdr:from>
        <xdr:to>
          <xdr:col>15</xdr:col>
          <xdr:colOff>171450</xdr:colOff>
          <xdr:row>26</xdr:row>
          <xdr:rowOff>9525</xdr:rowOff>
        </xdr:to>
        <xdr:sp macro="" textlink="">
          <xdr:nvSpPr>
            <xdr:cNvPr id="2459" name="Option Button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104775</xdr:rowOff>
        </xdr:from>
        <xdr:to>
          <xdr:col>21</xdr:col>
          <xdr:colOff>114300</xdr:colOff>
          <xdr:row>33</xdr:row>
          <xdr:rowOff>133350</xdr:rowOff>
        </xdr:to>
        <xdr:sp macro="" textlink="">
          <xdr:nvSpPr>
            <xdr:cNvPr id="14284" name="Option Button 1996" descr="ed:erstmalige Durchführung" hidden="1">
              <a:extLst>
                <a:ext uri="{63B3BB69-23CF-44E3-9099-C40C66FF867C}">
                  <a14:compatExt spid="_x0000_s14284"/>
                </a:ext>
                <a:ext uri="{FF2B5EF4-FFF2-40B4-BE49-F238E27FC236}">
                  <a16:creationId xmlns:a16="http://schemas.microsoft.com/office/drawing/2014/main" id="{00000000-0008-0000-0000-0000CC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 erstmalige Durchführung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161925</xdr:rowOff>
        </xdr:from>
        <xdr:to>
          <xdr:col>20</xdr:col>
          <xdr:colOff>238125</xdr:colOff>
          <xdr:row>26</xdr:row>
          <xdr:rowOff>0</xdr:rowOff>
        </xdr:to>
        <xdr:sp macro="" textlink="">
          <xdr:nvSpPr>
            <xdr:cNvPr id="14295" name="Group Box 2007" hidden="1">
              <a:extLst>
                <a:ext uri="{63B3BB69-23CF-44E3-9099-C40C66FF867C}">
                  <a14:compatExt spid="_x0000_s14295"/>
                </a:ext>
                <a:ext uri="{FF2B5EF4-FFF2-40B4-BE49-F238E27FC236}">
                  <a16:creationId xmlns:a16="http://schemas.microsoft.com/office/drawing/2014/main" id="{00000000-0008-0000-0000-0000D7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76200</xdr:rowOff>
    </xdr:from>
    <xdr:to>
      <xdr:col>6</xdr:col>
      <xdr:colOff>68315</xdr:colOff>
      <xdr:row>5</xdr:row>
      <xdr:rowOff>92674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76200"/>
          <a:ext cx="1335140" cy="1054699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0</xdr:row>
      <xdr:rowOff>104775</xdr:rowOff>
    </xdr:from>
    <xdr:to>
      <xdr:col>27</xdr:col>
      <xdr:colOff>34464</xdr:colOff>
      <xdr:row>5</xdr:row>
      <xdr:rowOff>78574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104775"/>
          <a:ext cx="2011854" cy="10120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32</xdr:row>
          <xdr:rowOff>85725</xdr:rowOff>
        </xdr:from>
        <xdr:to>
          <xdr:col>21</xdr:col>
          <xdr:colOff>9525</xdr:colOff>
          <xdr:row>33</xdr:row>
          <xdr:rowOff>123825</xdr:rowOff>
        </xdr:to>
        <xdr:sp macro="" textlink="">
          <xdr:nvSpPr>
            <xdr:cNvPr id="14298" name="Option Button 2010" descr="ed:erstmalige Durchführung" hidden="1">
              <a:extLst>
                <a:ext uri="{63B3BB69-23CF-44E3-9099-C40C66FF867C}">
                  <a14:compatExt spid="_x0000_s14298"/>
                </a:ext>
                <a:ext uri="{FF2B5EF4-FFF2-40B4-BE49-F238E27FC236}">
                  <a16:creationId xmlns:a16="http://schemas.microsoft.com/office/drawing/2014/main" id="{00000000-0008-0000-0000-0000DA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wd wiederholte Durchführung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9525</xdr:rowOff>
        </xdr:from>
        <xdr:to>
          <xdr:col>22</xdr:col>
          <xdr:colOff>9525</xdr:colOff>
          <xdr:row>34</xdr:row>
          <xdr:rowOff>0</xdr:rowOff>
        </xdr:to>
        <xdr:sp macro="" textlink="">
          <xdr:nvSpPr>
            <xdr:cNvPr id="14299" name="Group Box 2011" hidden="1">
              <a:extLst>
                <a:ext uri="{63B3BB69-23CF-44E3-9099-C40C66FF867C}">
                  <a14:compatExt spid="_x0000_s14299"/>
                </a:ext>
                <a:ext uri="{FF2B5EF4-FFF2-40B4-BE49-F238E27FC236}">
                  <a16:creationId xmlns:a16="http://schemas.microsoft.com/office/drawing/2014/main" id="{00000000-0008-0000-0000-0000DB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161925</xdr:rowOff>
        </xdr:from>
        <xdr:to>
          <xdr:col>8</xdr:col>
          <xdr:colOff>285750</xdr:colOff>
          <xdr:row>22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142875</xdr:rowOff>
        </xdr:from>
        <xdr:to>
          <xdr:col>13</xdr:col>
          <xdr:colOff>57150</xdr:colOff>
          <xdr:row>22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9525</xdr:rowOff>
        </xdr:from>
        <xdr:to>
          <xdr:col>30</xdr:col>
          <xdr:colOff>171450</xdr:colOff>
          <xdr:row>22</xdr:row>
          <xdr:rowOff>219075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133350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142875</xdr:rowOff>
        </xdr:from>
        <xdr:to>
          <xdr:col>9</xdr:col>
          <xdr:colOff>9525</xdr:colOff>
          <xdr:row>17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49</xdr:row>
          <xdr:rowOff>76200</xdr:rowOff>
        </xdr:from>
        <xdr:to>
          <xdr:col>13</xdr:col>
          <xdr:colOff>19050</xdr:colOff>
          <xdr:row>49</xdr:row>
          <xdr:rowOff>295275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49</xdr:row>
          <xdr:rowOff>85725</xdr:rowOff>
        </xdr:from>
        <xdr:to>
          <xdr:col>16</xdr:col>
          <xdr:colOff>19050</xdr:colOff>
          <xdr:row>49</xdr:row>
          <xdr:rowOff>304800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49</xdr:row>
          <xdr:rowOff>85725</xdr:rowOff>
        </xdr:from>
        <xdr:to>
          <xdr:col>19</xdr:col>
          <xdr:colOff>9525</xdr:colOff>
          <xdr:row>49</xdr:row>
          <xdr:rowOff>304800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50</xdr:row>
          <xdr:rowOff>85725</xdr:rowOff>
        </xdr:from>
        <xdr:to>
          <xdr:col>13</xdr:col>
          <xdr:colOff>19050</xdr:colOff>
          <xdr:row>50</xdr:row>
          <xdr:rowOff>304800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50</xdr:row>
          <xdr:rowOff>85725</xdr:rowOff>
        </xdr:from>
        <xdr:to>
          <xdr:col>16</xdr:col>
          <xdr:colOff>19050</xdr:colOff>
          <xdr:row>50</xdr:row>
          <xdr:rowOff>304800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50</xdr:row>
          <xdr:rowOff>85725</xdr:rowOff>
        </xdr:from>
        <xdr:to>
          <xdr:col>19</xdr:col>
          <xdr:colOff>9525</xdr:colOff>
          <xdr:row>50</xdr:row>
          <xdr:rowOff>304800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51</xdr:row>
          <xdr:rowOff>38100</xdr:rowOff>
        </xdr:from>
        <xdr:to>
          <xdr:col>19</xdr:col>
          <xdr:colOff>19050</xdr:colOff>
          <xdr:row>51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51</xdr:row>
          <xdr:rowOff>38100</xdr:rowOff>
        </xdr:from>
        <xdr:to>
          <xdr:col>13</xdr:col>
          <xdr:colOff>19050</xdr:colOff>
          <xdr:row>51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51</xdr:row>
          <xdr:rowOff>38100</xdr:rowOff>
        </xdr:from>
        <xdr:to>
          <xdr:col>16</xdr:col>
          <xdr:colOff>19050</xdr:colOff>
          <xdr:row>51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28575</xdr:rowOff>
        </xdr:from>
        <xdr:to>
          <xdr:col>8</xdr:col>
          <xdr:colOff>285750</xdr:colOff>
          <xdr:row>25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24</xdr:row>
          <xdr:rowOff>28575</xdr:rowOff>
        </xdr:from>
        <xdr:to>
          <xdr:col>13</xdr:col>
          <xdr:colOff>104775</xdr:colOff>
          <xdr:row>25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9525</xdr:rowOff>
        </xdr:from>
        <xdr:to>
          <xdr:col>30</xdr:col>
          <xdr:colOff>171450</xdr:colOff>
          <xdr:row>24</xdr:row>
          <xdr:rowOff>209550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52</xdr:row>
          <xdr:rowOff>38100</xdr:rowOff>
        </xdr:from>
        <xdr:to>
          <xdr:col>19</xdr:col>
          <xdr:colOff>9525</xdr:colOff>
          <xdr:row>52</xdr:row>
          <xdr:rowOff>352425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52</xdr:row>
          <xdr:rowOff>47625</xdr:rowOff>
        </xdr:from>
        <xdr:to>
          <xdr:col>13</xdr:col>
          <xdr:colOff>19050</xdr:colOff>
          <xdr:row>52</xdr:row>
          <xdr:rowOff>323850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52</xdr:row>
          <xdr:rowOff>47625</xdr:rowOff>
        </xdr:from>
        <xdr:to>
          <xdr:col>16</xdr:col>
          <xdr:colOff>19050</xdr:colOff>
          <xdr:row>52</xdr:row>
          <xdr:rowOff>323850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</xdr:rowOff>
        </xdr:from>
        <xdr:to>
          <xdr:col>30</xdr:col>
          <xdr:colOff>171450</xdr:colOff>
          <xdr:row>23</xdr:row>
          <xdr:rowOff>228600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53</xdr:row>
          <xdr:rowOff>47625</xdr:rowOff>
        </xdr:from>
        <xdr:to>
          <xdr:col>13</xdr:col>
          <xdr:colOff>19050</xdr:colOff>
          <xdr:row>53</xdr:row>
          <xdr:rowOff>266700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53</xdr:row>
          <xdr:rowOff>47625</xdr:rowOff>
        </xdr:from>
        <xdr:to>
          <xdr:col>16</xdr:col>
          <xdr:colOff>19050</xdr:colOff>
          <xdr:row>53</xdr:row>
          <xdr:rowOff>266700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53</xdr:row>
          <xdr:rowOff>47625</xdr:rowOff>
        </xdr:from>
        <xdr:to>
          <xdr:col>19</xdr:col>
          <xdr:colOff>9525</xdr:colOff>
          <xdr:row>53</xdr:row>
          <xdr:rowOff>266700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55</xdr:row>
          <xdr:rowOff>0</xdr:rowOff>
        </xdr:from>
        <xdr:to>
          <xdr:col>13</xdr:col>
          <xdr:colOff>19050</xdr:colOff>
          <xdr:row>55</xdr:row>
          <xdr:rowOff>219075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38100</xdr:rowOff>
        </xdr:from>
        <xdr:to>
          <xdr:col>14</xdr:col>
          <xdr:colOff>152400</xdr:colOff>
          <xdr:row>26</xdr:row>
          <xdr:rowOff>266700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26</xdr:row>
          <xdr:rowOff>28575</xdr:rowOff>
        </xdr:from>
        <xdr:to>
          <xdr:col>17</xdr:col>
          <xdr:colOff>47625</xdr:colOff>
          <xdr:row>26</xdr:row>
          <xdr:rowOff>257175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38100</xdr:rowOff>
        </xdr:from>
        <xdr:to>
          <xdr:col>19</xdr:col>
          <xdr:colOff>123825</xdr:colOff>
          <xdr:row>26</xdr:row>
          <xdr:rowOff>266700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28575</xdr:rowOff>
        </xdr:from>
        <xdr:to>
          <xdr:col>14</xdr:col>
          <xdr:colOff>152400</xdr:colOff>
          <xdr:row>27</xdr:row>
          <xdr:rowOff>257175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27</xdr:row>
          <xdr:rowOff>28575</xdr:rowOff>
        </xdr:from>
        <xdr:to>
          <xdr:col>17</xdr:col>
          <xdr:colOff>66675</xdr:colOff>
          <xdr:row>27</xdr:row>
          <xdr:rowOff>257175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28575</xdr:rowOff>
        </xdr:from>
        <xdr:to>
          <xdr:col>19</xdr:col>
          <xdr:colOff>133350</xdr:colOff>
          <xdr:row>27</xdr:row>
          <xdr:rowOff>257175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35</xdr:row>
          <xdr:rowOff>180975</xdr:rowOff>
        </xdr:from>
        <xdr:to>
          <xdr:col>19</xdr:col>
          <xdr:colOff>57150</xdr:colOff>
          <xdr:row>37</xdr:row>
          <xdr:rowOff>28575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2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36</xdr:row>
          <xdr:rowOff>9525</xdr:rowOff>
        </xdr:from>
        <xdr:to>
          <xdr:col>28</xdr:col>
          <xdr:colOff>38100</xdr:colOff>
          <xdr:row>37</xdr:row>
          <xdr:rowOff>0</xdr:rowOff>
        </xdr:to>
        <xdr:sp macro="" textlink="">
          <xdr:nvSpPr>
            <xdr:cNvPr id="4228" name="Option Button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2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47625</xdr:rowOff>
        </xdr:from>
        <xdr:to>
          <xdr:col>14</xdr:col>
          <xdr:colOff>142875</xdr:colOff>
          <xdr:row>28</xdr:row>
          <xdr:rowOff>276225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2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28575</xdr:rowOff>
        </xdr:from>
        <xdr:to>
          <xdr:col>17</xdr:col>
          <xdr:colOff>76200</xdr:colOff>
          <xdr:row>28</xdr:row>
          <xdr:rowOff>257175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2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28575</xdr:rowOff>
        </xdr:from>
        <xdr:to>
          <xdr:col>19</xdr:col>
          <xdr:colOff>142875</xdr:colOff>
          <xdr:row>28</xdr:row>
          <xdr:rowOff>257175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2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219075</xdr:rowOff>
        </xdr:from>
        <xdr:to>
          <xdr:col>12</xdr:col>
          <xdr:colOff>171450</xdr:colOff>
          <xdr:row>37</xdr:row>
          <xdr:rowOff>209550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2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40</xdr:row>
          <xdr:rowOff>19050</xdr:rowOff>
        </xdr:from>
        <xdr:to>
          <xdr:col>27</xdr:col>
          <xdr:colOff>9525</xdr:colOff>
          <xdr:row>40</xdr:row>
          <xdr:rowOff>238125</xdr:rowOff>
        </xdr:to>
        <xdr:sp macro="" textlink="">
          <xdr:nvSpPr>
            <xdr:cNvPr id="4242" name="Option Button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2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40</xdr:row>
          <xdr:rowOff>19050</xdr:rowOff>
        </xdr:from>
        <xdr:to>
          <xdr:col>22</xdr:col>
          <xdr:colOff>295275</xdr:colOff>
          <xdr:row>40</xdr:row>
          <xdr:rowOff>238125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2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9525</xdr:rowOff>
        </xdr:from>
        <xdr:to>
          <xdr:col>31</xdr:col>
          <xdr:colOff>104775</xdr:colOff>
          <xdr:row>59</xdr:row>
          <xdr:rowOff>381000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2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59</xdr:row>
          <xdr:rowOff>95250</xdr:rowOff>
        </xdr:from>
        <xdr:to>
          <xdr:col>30</xdr:col>
          <xdr:colOff>152400</xdr:colOff>
          <xdr:row>59</xdr:row>
          <xdr:rowOff>304800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2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59</xdr:row>
          <xdr:rowOff>85725</xdr:rowOff>
        </xdr:from>
        <xdr:to>
          <xdr:col>22</xdr:col>
          <xdr:colOff>200025</xdr:colOff>
          <xdr:row>59</xdr:row>
          <xdr:rowOff>304800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2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0</xdr:rowOff>
        </xdr:from>
        <xdr:to>
          <xdr:col>8</xdr:col>
          <xdr:colOff>285750</xdr:colOff>
          <xdr:row>31</xdr:row>
          <xdr:rowOff>209550</xdr:rowOff>
        </xdr:to>
        <xdr:sp macro="" textlink="">
          <xdr:nvSpPr>
            <xdr:cNvPr id="4247" name="Drop Dow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2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57150</xdr:rowOff>
        </xdr:from>
        <xdr:to>
          <xdr:col>18</xdr:col>
          <xdr:colOff>142875</xdr:colOff>
          <xdr:row>30</xdr:row>
          <xdr:rowOff>238125</xdr:rowOff>
        </xdr:to>
        <xdr:sp macro="" textlink="">
          <xdr:nvSpPr>
            <xdr:cNvPr id="4248" name="Drop Dow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2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29</xdr:row>
          <xdr:rowOff>47625</xdr:rowOff>
        </xdr:from>
        <xdr:to>
          <xdr:col>29</xdr:col>
          <xdr:colOff>0</xdr:colOff>
          <xdr:row>29</xdr:row>
          <xdr:rowOff>266700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2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161925</xdr:rowOff>
        </xdr:from>
        <xdr:to>
          <xdr:col>1</xdr:col>
          <xdr:colOff>123825</xdr:colOff>
          <xdr:row>79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2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1</xdr:col>
          <xdr:colOff>123825</xdr:colOff>
          <xdr:row>81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2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200025</xdr:rowOff>
        </xdr:from>
        <xdr:to>
          <xdr:col>1</xdr:col>
          <xdr:colOff>123825</xdr:colOff>
          <xdr:row>84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2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1</xdr:col>
          <xdr:colOff>123825</xdr:colOff>
          <xdr:row>80</xdr:row>
          <xdr:rowOff>9525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2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200025</xdr:rowOff>
        </xdr:from>
        <xdr:to>
          <xdr:col>1</xdr:col>
          <xdr:colOff>123825</xdr:colOff>
          <xdr:row>82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2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1</xdr:col>
          <xdr:colOff>123825</xdr:colOff>
          <xdr:row>83</xdr:row>
          <xdr:rowOff>9525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2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19050</xdr:rowOff>
        </xdr:from>
        <xdr:to>
          <xdr:col>1</xdr:col>
          <xdr:colOff>123825</xdr:colOff>
          <xdr:row>87</xdr:row>
          <xdr:rowOff>28575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2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</xdr:col>
          <xdr:colOff>123825</xdr:colOff>
          <xdr:row>85</xdr:row>
          <xdr:rowOff>9525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2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190500</xdr:rowOff>
        </xdr:from>
        <xdr:to>
          <xdr:col>11</xdr:col>
          <xdr:colOff>95250</xdr:colOff>
          <xdr:row>80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2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200025</xdr:rowOff>
        </xdr:from>
        <xdr:to>
          <xdr:col>11</xdr:col>
          <xdr:colOff>123825</xdr:colOff>
          <xdr:row>81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2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200025</xdr:rowOff>
        </xdr:from>
        <xdr:to>
          <xdr:col>11</xdr:col>
          <xdr:colOff>123825</xdr:colOff>
          <xdr:row>82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2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200025</xdr:rowOff>
        </xdr:from>
        <xdr:to>
          <xdr:col>11</xdr:col>
          <xdr:colOff>123825</xdr:colOff>
          <xdr:row>83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2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200025</xdr:rowOff>
        </xdr:from>
        <xdr:to>
          <xdr:col>11</xdr:col>
          <xdr:colOff>123825</xdr:colOff>
          <xdr:row>84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2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200025</xdr:rowOff>
        </xdr:from>
        <xdr:to>
          <xdr:col>11</xdr:col>
          <xdr:colOff>123825</xdr:colOff>
          <xdr:row>85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2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200025</xdr:rowOff>
        </xdr:from>
        <xdr:to>
          <xdr:col>11</xdr:col>
          <xdr:colOff>123825</xdr:colOff>
          <xdr:row>86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2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9525</xdr:rowOff>
        </xdr:from>
        <xdr:to>
          <xdr:col>11</xdr:col>
          <xdr:colOff>142875</xdr:colOff>
          <xdr:row>79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2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77</xdr:row>
          <xdr:rowOff>161925</xdr:rowOff>
        </xdr:from>
        <xdr:to>
          <xdr:col>23</xdr:col>
          <xdr:colOff>104775</xdr:colOff>
          <xdr:row>79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2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79</xdr:row>
          <xdr:rowOff>0</xdr:rowOff>
        </xdr:from>
        <xdr:to>
          <xdr:col>23</xdr:col>
          <xdr:colOff>104775</xdr:colOff>
          <xdr:row>80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2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80</xdr:row>
          <xdr:rowOff>0</xdr:rowOff>
        </xdr:from>
        <xdr:to>
          <xdr:col>23</xdr:col>
          <xdr:colOff>104775</xdr:colOff>
          <xdr:row>81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2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80</xdr:row>
          <xdr:rowOff>200025</xdr:rowOff>
        </xdr:from>
        <xdr:to>
          <xdr:col>23</xdr:col>
          <xdr:colOff>104775</xdr:colOff>
          <xdr:row>82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2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81</xdr:row>
          <xdr:rowOff>200025</xdr:rowOff>
        </xdr:from>
        <xdr:to>
          <xdr:col>23</xdr:col>
          <xdr:colOff>104775</xdr:colOff>
          <xdr:row>83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2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82</xdr:row>
          <xdr:rowOff>190500</xdr:rowOff>
        </xdr:from>
        <xdr:to>
          <xdr:col>23</xdr:col>
          <xdr:colOff>104775</xdr:colOff>
          <xdr:row>83</xdr:row>
          <xdr:rowOff>200025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2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84</xdr:row>
          <xdr:rowOff>200025</xdr:rowOff>
        </xdr:from>
        <xdr:to>
          <xdr:col>23</xdr:col>
          <xdr:colOff>104775</xdr:colOff>
          <xdr:row>86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2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83</xdr:row>
          <xdr:rowOff>200025</xdr:rowOff>
        </xdr:from>
        <xdr:to>
          <xdr:col>23</xdr:col>
          <xdr:colOff>104775</xdr:colOff>
          <xdr:row>85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2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28575</xdr:rowOff>
        </xdr:from>
        <xdr:to>
          <xdr:col>24</xdr:col>
          <xdr:colOff>19050</xdr:colOff>
          <xdr:row>36</xdr:row>
          <xdr:rowOff>200025</xdr:rowOff>
        </xdr:to>
        <xdr:sp macro="" textlink="">
          <xdr:nvSpPr>
            <xdr:cNvPr id="4310" name="Option Button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2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 unter Vorbehalt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59</xdr:row>
          <xdr:rowOff>85725</xdr:rowOff>
        </xdr:from>
        <xdr:to>
          <xdr:col>27</xdr:col>
          <xdr:colOff>95250</xdr:colOff>
          <xdr:row>59</xdr:row>
          <xdr:rowOff>304800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2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unter Vorbehalt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57</xdr:row>
          <xdr:rowOff>95250</xdr:rowOff>
        </xdr:from>
        <xdr:to>
          <xdr:col>31</xdr:col>
          <xdr:colOff>47625</xdr:colOff>
          <xdr:row>57</xdr:row>
          <xdr:rowOff>285750</xdr:rowOff>
        </xdr:to>
        <xdr:sp macro="" textlink="">
          <xdr:nvSpPr>
            <xdr:cNvPr id="4314" name="Check Box 218" descr="erfüllt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1A67AF04-8A66-426B-B46F-2BA801966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erfüllt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95250</xdr:rowOff>
        </xdr:from>
        <xdr:to>
          <xdr:col>31</xdr:col>
          <xdr:colOff>76200</xdr:colOff>
          <xdr:row>57</xdr:row>
          <xdr:rowOff>285750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D1218D8-FF6B-4FEC-89AE-C6188F50D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nicht erfüllt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omments" Target="../comments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2.xml"/><Relationship Id="rId21" Type="http://schemas.openxmlformats.org/officeDocument/2006/relationships/ctrlProp" Target="../ctrlProps/ctrlProp57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63" Type="http://schemas.openxmlformats.org/officeDocument/2006/relationships/ctrlProp" Target="../ctrlProps/ctrlProp99.xml"/><Relationship Id="rId68" Type="http://schemas.openxmlformats.org/officeDocument/2006/relationships/ctrlProp" Target="../ctrlProps/ctrlProp104.xml"/><Relationship Id="rId16" Type="http://schemas.openxmlformats.org/officeDocument/2006/relationships/ctrlProp" Target="../ctrlProps/ctrlProp5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3" Type="http://schemas.openxmlformats.org/officeDocument/2006/relationships/ctrlProp" Target="../ctrlProps/ctrlProp89.xml"/><Relationship Id="rId58" Type="http://schemas.openxmlformats.org/officeDocument/2006/relationships/ctrlProp" Target="../ctrlProps/ctrlProp94.xml"/><Relationship Id="rId66" Type="http://schemas.openxmlformats.org/officeDocument/2006/relationships/ctrlProp" Target="../ctrlProps/ctrlProp102.xml"/><Relationship Id="rId74" Type="http://schemas.openxmlformats.org/officeDocument/2006/relationships/ctrlProp" Target="../ctrlProps/ctrlProp110.xml"/><Relationship Id="rId5" Type="http://schemas.openxmlformats.org/officeDocument/2006/relationships/vmlDrawing" Target="../drawings/vmlDrawing2.vml"/><Relationship Id="rId61" Type="http://schemas.openxmlformats.org/officeDocument/2006/relationships/ctrlProp" Target="../ctrlProps/ctrlProp97.xml"/><Relationship Id="rId19" Type="http://schemas.openxmlformats.org/officeDocument/2006/relationships/ctrlProp" Target="../ctrlProps/ctrlProp5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56" Type="http://schemas.openxmlformats.org/officeDocument/2006/relationships/ctrlProp" Target="../ctrlProps/ctrlProp92.xml"/><Relationship Id="rId64" Type="http://schemas.openxmlformats.org/officeDocument/2006/relationships/ctrlProp" Target="../ctrlProps/ctrlProp100.xml"/><Relationship Id="rId69" Type="http://schemas.openxmlformats.org/officeDocument/2006/relationships/ctrlProp" Target="../ctrlProps/ctrlProp105.xml"/><Relationship Id="rId77" Type="http://schemas.openxmlformats.org/officeDocument/2006/relationships/ctrlProp" Target="../ctrlProps/ctrlProp113.xml"/><Relationship Id="rId8" Type="http://schemas.openxmlformats.org/officeDocument/2006/relationships/ctrlProp" Target="../ctrlProps/ctrlProp44.xml"/><Relationship Id="rId51" Type="http://schemas.openxmlformats.org/officeDocument/2006/relationships/ctrlProp" Target="../ctrlProps/ctrlProp87.xml"/><Relationship Id="rId72" Type="http://schemas.openxmlformats.org/officeDocument/2006/relationships/ctrlProp" Target="../ctrlProps/ctrlProp108.xml"/><Relationship Id="rId3" Type="http://schemas.openxmlformats.org/officeDocument/2006/relationships/printerSettings" Target="../printerSettings/printerSettings7.bin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59" Type="http://schemas.openxmlformats.org/officeDocument/2006/relationships/ctrlProp" Target="../ctrlProps/ctrlProp95.xml"/><Relationship Id="rId67" Type="http://schemas.openxmlformats.org/officeDocument/2006/relationships/ctrlProp" Target="../ctrlProps/ctrlProp103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54" Type="http://schemas.openxmlformats.org/officeDocument/2006/relationships/ctrlProp" Target="../ctrlProps/ctrlProp90.xml"/><Relationship Id="rId62" Type="http://schemas.openxmlformats.org/officeDocument/2006/relationships/ctrlProp" Target="../ctrlProps/ctrlProp98.xml"/><Relationship Id="rId70" Type="http://schemas.openxmlformats.org/officeDocument/2006/relationships/ctrlProp" Target="../ctrlProps/ctrlProp106.xml"/><Relationship Id="rId75" Type="http://schemas.openxmlformats.org/officeDocument/2006/relationships/ctrlProp" Target="../ctrlProps/ctrlProp11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2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57" Type="http://schemas.openxmlformats.org/officeDocument/2006/relationships/ctrlProp" Target="../ctrlProps/ctrlProp93.xml"/><Relationship Id="rId10" Type="http://schemas.openxmlformats.org/officeDocument/2006/relationships/ctrlProp" Target="../ctrlProps/ctrlProp46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52" Type="http://schemas.openxmlformats.org/officeDocument/2006/relationships/ctrlProp" Target="../ctrlProps/ctrlProp88.xml"/><Relationship Id="rId60" Type="http://schemas.openxmlformats.org/officeDocument/2006/relationships/ctrlProp" Target="../ctrlProps/ctrlProp96.xml"/><Relationship Id="rId65" Type="http://schemas.openxmlformats.org/officeDocument/2006/relationships/ctrlProp" Target="../ctrlProps/ctrlProp101.xml"/><Relationship Id="rId73" Type="http://schemas.openxmlformats.org/officeDocument/2006/relationships/ctrlProp" Target="../ctrlProps/ctrlProp109.xml"/><Relationship Id="rId78" Type="http://schemas.openxmlformats.org/officeDocument/2006/relationships/ctrlProp" Target="../ctrlProps/ctrlProp114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5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9" Type="http://schemas.openxmlformats.org/officeDocument/2006/relationships/ctrlProp" Target="../ctrlProps/ctrlProp75.xml"/><Relationship Id="rId34" Type="http://schemas.openxmlformats.org/officeDocument/2006/relationships/ctrlProp" Target="../ctrlProps/ctrlProp70.xml"/><Relationship Id="rId50" Type="http://schemas.openxmlformats.org/officeDocument/2006/relationships/ctrlProp" Target="../ctrlProps/ctrlProp86.xml"/><Relationship Id="rId55" Type="http://schemas.openxmlformats.org/officeDocument/2006/relationships/ctrlProp" Target="../ctrlProps/ctrlProp91.xml"/><Relationship Id="rId76" Type="http://schemas.openxmlformats.org/officeDocument/2006/relationships/ctrlProp" Target="../ctrlProps/ctrlProp112.xml"/><Relationship Id="rId7" Type="http://schemas.openxmlformats.org/officeDocument/2006/relationships/ctrlProp" Target="../ctrlProps/ctrlProp43.xml"/><Relationship Id="rId71" Type="http://schemas.openxmlformats.org/officeDocument/2006/relationships/ctrlProp" Target="../ctrlProps/ctrlProp107.xml"/><Relationship Id="rId2" Type="http://schemas.openxmlformats.org/officeDocument/2006/relationships/printerSettings" Target="../printerSettings/printerSettings6.bin"/><Relationship Id="rId29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D766"/>
  <sheetViews>
    <sheetView showGridLines="0" tabSelected="1" showWhiteSpace="0" zoomScaleNormal="100" zoomScaleSheetLayoutView="100" workbookViewId="0">
      <selection activeCell="B11" sqref="B11:X11"/>
    </sheetView>
  </sheetViews>
  <sheetFormatPr baseColWidth="10" defaultColWidth="11.42578125" defaultRowHeight="12.75" zeroHeight="1" x14ac:dyDescent="0.2"/>
  <cols>
    <col min="1" max="1" width="3.85546875" style="219" customWidth="1"/>
    <col min="2" max="2" width="3.85546875" style="159" customWidth="1"/>
    <col min="3" max="4" width="3.7109375" style="159" customWidth="1"/>
    <col min="5" max="5" width="4.140625" style="159" customWidth="1"/>
    <col min="6" max="6" width="3.5703125" style="159" customWidth="1"/>
    <col min="7" max="11" width="3.7109375" style="159" customWidth="1"/>
    <col min="12" max="12" width="3.42578125" style="159" customWidth="1"/>
    <col min="13" max="23" width="3.7109375" style="159" customWidth="1"/>
    <col min="24" max="24" width="1.5703125" style="159" customWidth="1"/>
    <col min="25" max="25" width="5.5703125" style="159" customWidth="1"/>
    <col min="26" max="26" width="3.7109375" style="159" customWidth="1"/>
    <col min="27" max="27" width="4.28515625" style="159" customWidth="1"/>
    <col min="28" max="28" width="6.140625" style="159" customWidth="1"/>
    <col min="29" max="29" width="3.28515625" style="159" customWidth="1"/>
    <col min="30" max="30" width="9.28515625" style="159" customWidth="1"/>
    <col min="31" max="31" width="8.140625" style="159" customWidth="1"/>
    <col min="32" max="33" width="11.42578125" style="159"/>
    <col min="34" max="34" width="17" style="159" customWidth="1"/>
    <col min="35" max="37" width="11.42578125" style="159"/>
    <col min="38" max="41" width="20.140625" style="159" customWidth="1"/>
    <col min="42" max="43" width="11.42578125" style="159"/>
    <col min="44" max="44" width="22.85546875" style="159" customWidth="1"/>
    <col min="45" max="45" width="11.42578125" style="159"/>
    <col min="46" max="51" width="11.5703125" style="159" bestFit="1" customWidth="1"/>
    <col min="52" max="52" width="13" style="159" bestFit="1" customWidth="1"/>
    <col min="53" max="53" width="11.5703125" style="159" bestFit="1" customWidth="1"/>
    <col min="54" max="54" width="13.42578125" style="159" customWidth="1"/>
    <col min="55" max="56" width="11.5703125" style="159" bestFit="1" customWidth="1"/>
    <col min="57" max="16384" width="11.42578125" style="159"/>
  </cols>
  <sheetData>
    <row r="1" spans="1:31" ht="19.5" customHeight="1" x14ac:dyDescent="0.25">
      <c r="A1" s="589"/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</row>
    <row r="2" spans="1:31" ht="12.75" customHeight="1" x14ac:dyDescent="0.2">
      <c r="A2" s="590" t="s">
        <v>181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</row>
    <row r="3" spans="1:31" ht="12.75" customHeight="1" x14ac:dyDescent="0.25">
      <c r="A3" s="162"/>
      <c r="B3" s="163"/>
      <c r="C3" s="163"/>
      <c r="E3" s="163"/>
      <c r="F3" s="163"/>
      <c r="G3" s="163"/>
      <c r="H3" s="163"/>
      <c r="I3" s="163"/>
      <c r="J3" s="163"/>
      <c r="K3" s="163"/>
      <c r="L3" s="163"/>
      <c r="M3" s="163"/>
      <c r="N3" s="164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5"/>
    </row>
    <row r="4" spans="1:31" ht="18" customHeight="1" x14ac:dyDescent="0.25">
      <c r="B4" s="166"/>
      <c r="C4" s="592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166"/>
      <c r="AA4" s="166"/>
    </row>
    <row r="5" spans="1:31" ht="18.75" customHeight="1" x14ac:dyDescent="0.2"/>
    <row r="6" spans="1:31" ht="9.6" customHeight="1" x14ac:dyDescent="0.2"/>
    <row r="7" spans="1:31" ht="69" customHeight="1" x14ac:dyDescent="0.2">
      <c r="A7" s="605" t="s">
        <v>971</v>
      </c>
      <c r="B7" s="606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7"/>
      <c r="AC7" s="402"/>
    </row>
    <row r="8" spans="1:31" ht="10.15" customHeight="1" x14ac:dyDescent="0.2">
      <c r="A8" s="599"/>
      <c r="B8" s="599"/>
      <c r="C8" s="599"/>
      <c r="D8" s="599"/>
      <c r="E8" s="599"/>
      <c r="F8" s="599"/>
      <c r="G8" s="599"/>
      <c r="H8" s="599"/>
      <c r="I8" s="599"/>
      <c r="J8" s="599"/>
      <c r="K8" s="599"/>
      <c r="L8" s="599"/>
      <c r="M8" s="599" t="s">
        <v>693</v>
      </c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</row>
    <row r="9" spans="1:31" s="169" customFormat="1" ht="15.75" x14ac:dyDescent="0.2">
      <c r="A9" s="310" t="s">
        <v>226</v>
      </c>
      <c r="B9" s="311" t="s">
        <v>926</v>
      </c>
      <c r="C9" s="311"/>
      <c r="D9" s="311"/>
      <c r="E9" s="312"/>
      <c r="F9" s="312"/>
      <c r="G9" s="312"/>
      <c r="H9" s="312"/>
      <c r="I9" s="312"/>
      <c r="J9" s="312"/>
      <c r="K9" s="312"/>
      <c r="L9" s="313"/>
      <c r="M9" s="313"/>
      <c r="N9" s="313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4"/>
      <c r="AD9" s="168"/>
      <c r="AE9" s="159"/>
    </row>
    <row r="10" spans="1:31" x14ac:dyDescent="0.2">
      <c r="A10" s="102"/>
      <c r="B10" s="611" t="s">
        <v>927</v>
      </c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3"/>
      <c r="Y10" s="405"/>
      <c r="Z10" s="405"/>
      <c r="AA10" s="394"/>
      <c r="AB10" s="403"/>
    </row>
    <row r="11" spans="1:31" ht="14.25" x14ac:dyDescent="0.2">
      <c r="A11" s="102"/>
      <c r="B11" s="600"/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2"/>
      <c r="Y11" s="400"/>
      <c r="Z11" s="400"/>
      <c r="AA11" s="603" t="str">
        <f>IF(AnmeldeNummer=0," ", "lfd.Nr.")</f>
        <v xml:space="preserve"> </v>
      </c>
      <c r="AB11" s="604"/>
    </row>
    <row r="12" spans="1:31" ht="13.15" customHeight="1" x14ac:dyDescent="0.2">
      <c r="A12" s="102"/>
      <c r="B12" s="608" t="s">
        <v>93</v>
      </c>
      <c r="C12" s="537"/>
      <c r="D12" s="537"/>
      <c r="E12" s="537"/>
      <c r="F12" s="537"/>
      <c r="G12" s="537"/>
      <c r="H12" s="537"/>
      <c r="I12" s="537"/>
      <c r="J12" s="537"/>
      <c r="K12" s="609"/>
      <c r="L12" s="65" t="s">
        <v>39</v>
      </c>
      <c r="M12" s="610"/>
      <c r="N12" s="537"/>
      <c r="O12" s="537"/>
      <c r="P12" s="107" t="s">
        <v>40</v>
      </c>
      <c r="Q12" s="65"/>
      <c r="R12" s="394"/>
      <c r="S12" s="394"/>
      <c r="T12" s="394"/>
      <c r="U12" s="394"/>
      <c r="V12" s="394"/>
      <c r="W12" s="394"/>
      <c r="X12" s="404"/>
      <c r="Y12" s="394"/>
      <c r="Z12" s="394"/>
      <c r="AA12" s="614" t="str">
        <f>IF(AnmeldeNummer=0,"",AnmeldeNummer)</f>
        <v/>
      </c>
      <c r="AB12" s="615"/>
    </row>
    <row r="13" spans="1:31" ht="14.25" x14ac:dyDescent="0.2">
      <c r="A13" s="102"/>
      <c r="B13" s="596"/>
      <c r="C13" s="597"/>
      <c r="D13" s="597"/>
      <c r="E13" s="597"/>
      <c r="F13" s="597"/>
      <c r="G13" s="597"/>
      <c r="H13" s="597"/>
      <c r="I13" s="597"/>
      <c r="J13" s="597"/>
      <c r="K13" s="598"/>
      <c r="L13" s="594"/>
      <c r="M13" s="595"/>
      <c r="N13" s="595"/>
      <c r="O13" s="595"/>
      <c r="P13" s="600"/>
      <c r="Q13" s="601"/>
      <c r="R13" s="601"/>
      <c r="S13" s="601"/>
      <c r="T13" s="601"/>
      <c r="U13" s="601"/>
      <c r="V13" s="601"/>
      <c r="W13" s="601"/>
      <c r="X13" s="602"/>
      <c r="Y13" s="325"/>
      <c r="Z13" s="325"/>
      <c r="AA13" s="616"/>
      <c r="AB13" s="615"/>
    </row>
    <row r="14" spans="1:31" s="171" customFormat="1" x14ac:dyDescent="0.2">
      <c r="A14" s="103"/>
      <c r="B14" s="621" t="s">
        <v>49</v>
      </c>
      <c r="C14" s="622"/>
      <c r="D14" s="622"/>
      <c r="E14" s="622"/>
      <c r="F14" s="623"/>
      <c r="G14" s="621" t="s">
        <v>268</v>
      </c>
      <c r="H14" s="622"/>
      <c r="I14" s="622"/>
      <c r="J14" s="622"/>
      <c r="K14" s="623"/>
      <c r="L14" s="632" t="s">
        <v>50</v>
      </c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3"/>
      <c r="Y14" s="292"/>
      <c r="Z14" s="394"/>
      <c r="AB14" s="170"/>
    </row>
    <row r="15" spans="1:31" ht="14.25" x14ac:dyDescent="0.2">
      <c r="A15" s="102"/>
      <c r="B15" s="596"/>
      <c r="C15" s="597"/>
      <c r="D15" s="597"/>
      <c r="E15" s="597"/>
      <c r="F15" s="598"/>
      <c r="G15" s="596"/>
      <c r="H15" s="597"/>
      <c r="I15" s="597"/>
      <c r="J15" s="597"/>
      <c r="K15" s="598"/>
      <c r="L15" s="600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2"/>
      <c r="Y15" s="326"/>
      <c r="Z15" s="326"/>
      <c r="AB15" s="161"/>
    </row>
    <row r="16" spans="1:31" ht="15" x14ac:dyDescent="0.25">
      <c r="A16" s="102"/>
      <c r="B16" s="172" t="s">
        <v>222</v>
      </c>
      <c r="H16" s="90"/>
      <c r="I16" s="173"/>
      <c r="J16" s="173"/>
      <c r="K16" s="173"/>
      <c r="L16" s="173"/>
      <c r="M16" s="173"/>
      <c r="N16" s="173"/>
      <c r="O16" s="173"/>
      <c r="P16" s="219"/>
      <c r="S16" s="90"/>
      <c r="T16" s="173"/>
      <c r="U16" s="173"/>
      <c r="V16" s="173"/>
      <c r="W16" s="173"/>
      <c r="X16" s="173"/>
      <c r="Y16" s="173"/>
      <c r="Z16" s="173"/>
      <c r="AA16" s="174"/>
      <c r="AB16" s="161"/>
    </row>
    <row r="17" spans="1:34" s="171" customFormat="1" ht="12.75" customHeight="1" x14ac:dyDescent="0.2">
      <c r="A17" s="103"/>
      <c r="B17" s="621" t="s">
        <v>48</v>
      </c>
      <c r="C17" s="629"/>
      <c r="D17" s="297" t="s">
        <v>167</v>
      </c>
      <c r="E17" s="408"/>
      <c r="F17" s="408"/>
      <c r="G17" s="409"/>
      <c r="H17" s="407" t="s">
        <v>46</v>
      </c>
      <c r="I17" s="412"/>
      <c r="J17" s="412"/>
      <c r="K17" s="412"/>
      <c r="L17" s="412"/>
      <c r="M17" s="412"/>
      <c r="N17" s="412"/>
      <c r="O17" s="412"/>
      <c r="P17" s="413"/>
      <c r="Q17" s="411" t="s">
        <v>98</v>
      </c>
      <c r="R17" s="282"/>
      <c r="S17" s="282"/>
      <c r="T17" s="282"/>
      <c r="U17" s="282"/>
      <c r="V17" s="282"/>
      <c r="W17" s="282"/>
      <c r="X17" s="293"/>
      <c r="Y17" s="292"/>
      <c r="Z17" s="292"/>
      <c r="AA17" s="619" t="str">
        <f>IF(Anmeldeingang=0," ", "Eingang")</f>
        <v xml:space="preserve"> </v>
      </c>
      <c r="AB17" s="620"/>
    </row>
    <row r="18" spans="1:34" ht="14.25" x14ac:dyDescent="0.2">
      <c r="A18" s="102"/>
      <c r="B18" s="596"/>
      <c r="C18" s="625"/>
      <c r="D18" s="624"/>
      <c r="E18" s="625"/>
      <c r="F18" s="625"/>
      <c r="G18" s="626"/>
      <c r="H18" s="596"/>
      <c r="I18" s="625"/>
      <c r="J18" s="625"/>
      <c r="K18" s="625"/>
      <c r="L18" s="625"/>
      <c r="M18" s="625"/>
      <c r="N18" s="625"/>
      <c r="O18" s="625"/>
      <c r="P18" s="626"/>
      <c r="Q18" s="600"/>
      <c r="R18" s="601"/>
      <c r="S18" s="601"/>
      <c r="T18" s="601"/>
      <c r="U18" s="601"/>
      <c r="V18" s="601"/>
      <c r="W18" s="601"/>
      <c r="X18" s="602"/>
      <c r="Y18" s="326"/>
      <c r="Z18" s="326"/>
      <c r="AA18" s="627" t="str">
        <f>IF(Anmeldeingang=0," ", Anmeldeingang)</f>
        <v xml:space="preserve"> </v>
      </c>
      <c r="AB18" s="628"/>
    </row>
    <row r="19" spans="1:34" ht="15" x14ac:dyDescent="0.25">
      <c r="A19" s="102"/>
      <c r="B19" s="172" t="s">
        <v>168</v>
      </c>
      <c r="H19" s="90"/>
      <c r="I19" s="173"/>
      <c r="J19" s="173"/>
      <c r="K19" s="173"/>
      <c r="L19" s="173"/>
      <c r="M19" s="173"/>
      <c r="N19" s="173"/>
      <c r="O19" s="173"/>
      <c r="P19" s="219"/>
      <c r="S19" s="90"/>
      <c r="T19" s="173"/>
      <c r="U19" s="173"/>
      <c r="V19" s="173"/>
      <c r="W19" s="173"/>
      <c r="X19" s="173"/>
      <c r="Y19" s="173"/>
      <c r="Z19" s="173"/>
      <c r="AA19" s="174"/>
      <c r="AB19" s="317"/>
    </row>
    <row r="20" spans="1:34" s="171" customFormat="1" x14ac:dyDescent="0.2">
      <c r="A20" s="103"/>
      <c r="B20" s="621" t="s">
        <v>48</v>
      </c>
      <c r="C20" s="622"/>
      <c r="D20" s="622"/>
      <c r="E20" s="623"/>
      <c r="F20" s="621" t="s">
        <v>46</v>
      </c>
      <c r="G20" s="633"/>
      <c r="H20" s="633"/>
      <c r="I20" s="633"/>
      <c r="J20" s="633"/>
      <c r="K20" s="633"/>
      <c r="L20" s="633"/>
      <c r="M20" s="633"/>
      <c r="N20" s="633"/>
      <c r="O20" s="633"/>
      <c r="P20" s="634"/>
      <c r="Q20" s="632" t="s">
        <v>98</v>
      </c>
      <c r="R20" s="612"/>
      <c r="S20" s="612"/>
      <c r="T20" s="612"/>
      <c r="U20" s="612"/>
      <c r="V20" s="612"/>
      <c r="W20" s="612"/>
      <c r="X20" s="613"/>
      <c r="Y20" s="292"/>
      <c r="Z20" s="292"/>
      <c r="AA20" s="638" t="str">
        <f>IF(neufass=0," ","Neue Fass.")</f>
        <v xml:space="preserve"> </v>
      </c>
      <c r="AB20" s="639"/>
    </row>
    <row r="21" spans="1:34" ht="14.25" x14ac:dyDescent="0.2">
      <c r="A21" s="102"/>
      <c r="B21" s="596"/>
      <c r="C21" s="597"/>
      <c r="D21" s="597"/>
      <c r="E21" s="598"/>
      <c r="F21" s="596"/>
      <c r="G21" s="597"/>
      <c r="H21" s="597"/>
      <c r="I21" s="597"/>
      <c r="J21" s="597"/>
      <c r="K21" s="597"/>
      <c r="L21" s="597"/>
      <c r="M21" s="597"/>
      <c r="N21" s="597"/>
      <c r="O21" s="597"/>
      <c r="P21" s="598"/>
      <c r="Q21" s="600"/>
      <c r="R21" s="601"/>
      <c r="S21" s="601"/>
      <c r="T21" s="601"/>
      <c r="U21" s="601"/>
      <c r="V21" s="601"/>
      <c r="W21" s="601"/>
      <c r="X21" s="602"/>
      <c r="Y21" s="326"/>
      <c r="Z21" s="326"/>
      <c r="AA21" s="627" t="str">
        <f>IF(neufass=0," ", neufass)</f>
        <v xml:space="preserve"> </v>
      </c>
      <c r="AB21" s="628"/>
    </row>
    <row r="22" spans="1:34" s="171" customFormat="1" x14ac:dyDescent="0.2">
      <c r="A22" s="103"/>
      <c r="B22" s="621" t="s">
        <v>49</v>
      </c>
      <c r="C22" s="633"/>
      <c r="D22" s="633"/>
      <c r="E22" s="633"/>
      <c r="F22" s="537"/>
      <c r="H22" s="394"/>
      <c r="I22" s="394"/>
      <c r="J22" s="394"/>
      <c r="K22" s="404"/>
      <c r="L22" s="643" t="s">
        <v>50</v>
      </c>
      <c r="M22" s="644"/>
      <c r="N22" s="644"/>
      <c r="O22" s="644"/>
      <c r="P22" s="644"/>
      <c r="Q22" s="644"/>
      <c r="R22" s="644"/>
      <c r="S22" s="644"/>
      <c r="T22" s="644"/>
      <c r="U22" s="644"/>
      <c r="V22" s="644"/>
      <c r="W22" s="644"/>
      <c r="X22" s="645"/>
      <c r="Y22" s="394"/>
      <c r="Z22" s="394"/>
      <c r="AA22" s="251"/>
      <c r="AB22" s="170"/>
    </row>
    <row r="23" spans="1:34" ht="14.25" x14ac:dyDescent="0.2">
      <c r="A23" s="102"/>
      <c r="B23" s="596"/>
      <c r="C23" s="597"/>
      <c r="D23" s="597"/>
      <c r="E23" s="597"/>
      <c r="F23" s="597"/>
      <c r="G23" s="630"/>
      <c r="H23" s="630"/>
      <c r="I23" s="630"/>
      <c r="J23" s="630"/>
      <c r="K23" s="631"/>
      <c r="L23" s="596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625"/>
      <c r="X23" s="626"/>
      <c r="Y23" s="400"/>
      <c r="Z23" s="400"/>
      <c r="AA23" s="394"/>
      <c r="AB23" s="161"/>
    </row>
    <row r="24" spans="1:34" ht="15" x14ac:dyDescent="0.25">
      <c r="A24" s="102"/>
      <c r="B24" s="172" t="s">
        <v>223</v>
      </c>
      <c r="C24" s="175"/>
      <c r="D24" s="175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385" t="s">
        <v>967</v>
      </c>
      <c r="W24" s="386"/>
      <c r="X24" s="386"/>
      <c r="Y24" s="386"/>
      <c r="Z24" s="386"/>
      <c r="AA24" s="387"/>
      <c r="AB24" s="388"/>
    </row>
    <row r="25" spans="1:34" ht="17.25" customHeight="1" x14ac:dyDescent="0.2">
      <c r="A25" s="177"/>
      <c r="B25" s="654" t="s">
        <v>981</v>
      </c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6"/>
      <c r="N25" s="656"/>
      <c r="O25" s="656"/>
      <c r="P25" s="656"/>
      <c r="Q25" s="656"/>
      <c r="R25" s="656"/>
      <c r="S25" s="656"/>
      <c r="T25" s="656"/>
      <c r="U25" s="657"/>
      <c r="V25" s="649"/>
      <c r="W25" s="649"/>
      <c r="X25" s="649"/>
      <c r="Y25" s="649"/>
      <c r="Z25" s="649"/>
      <c r="AA25" s="649"/>
      <c r="AB25" s="650"/>
      <c r="AH25" s="175"/>
    </row>
    <row r="26" spans="1:34" ht="20.45" customHeight="1" x14ac:dyDescent="0.2">
      <c r="A26" s="179"/>
      <c r="B26" s="658"/>
      <c r="C26" s="659"/>
      <c r="D26" s="659"/>
      <c r="E26" s="659"/>
      <c r="F26" s="659"/>
      <c r="G26" s="659"/>
      <c r="H26" s="659"/>
      <c r="I26" s="659"/>
      <c r="J26" s="659"/>
      <c r="K26" s="659"/>
      <c r="L26" s="659"/>
      <c r="M26" s="660"/>
      <c r="N26" s="660"/>
      <c r="O26" s="660"/>
      <c r="P26" s="660"/>
      <c r="Q26" s="660"/>
      <c r="R26" s="660"/>
      <c r="S26" s="660"/>
      <c r="T26" s="660"/>
      <c r="U26" s="661"/>
      <c r="V26" s="651"/>
      <c r="W26" s="651"/>
      <c r="X26" s="651"/>
      <c r="Y26" s="651"/>
      <c r="Z26" s="651"/>
      <c r="AA26" s="651"/>
      <c r="AB26" s="652"/>
      <c r="AH26" s="175"/>
    </row>
    <row r="27" spans="1:34" ht="32.25" customHeight="1" x14ac:dyDescent="0.2">
      <c r="A27" s="179"/>
      <c r="B27" s="635" t="str">
        <f>IF(Akauswahl = 2,"Bitte nehmen Sie umgehend Kontakt zur ESF+-Beratungsstelle auf: Tel. 0651-14645-12 oder akkreditierung@schneider-beratung.eu"," ")</f>
        <v xml:space="preserve"> </v>
      </c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636"/>
      <c r="AB27" s="637"/>
      <c r="AH27" s="175"/>
    </row>
    <row r="28" spans="1:34" ht="8.25" customHeight="1" thickBot="1" x14ac:dyDescent="0.25">
      <c r="A28" s="102"/>
      <c r="B28" s="180"/>
      <c r="C28" s="180"/>
      <c r="D28" s="180"/>
      <c r="E28" s="180"/>
      <c r="F28" s="180"/>
      <c r="G28" s="180"/>
      <c r="H28" s="180"/>
      <c r="I28" s="653"/>
      <c r="J28" s="653"/>
      <c r="K28" s="653"/>
      <c r="L28" s="653"/>
      <c r="M28" s="653"/>
      <c r="N28" s="653"/>
      <c r="O28" s="653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167"/>
      <c r="AB28" s="181"/>
    </row>
    <row r="29" spans="1:34" ht="15.75" x14ac:dyDescent="0.25">
      <c r="A29" s="104" t="s">
        <v>228</v>
      </c>
      <c r="B29" s="182" t="s">
        <v>227</v>
      </c>
      <c r="C29" s="182"/>
      <c r="D29" s="182"/>
      <c r="E29" s="182"/>
      <c r="F29" s="182"/>
      <c r="G29" s="183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AB29" s="161"/>
    </row>
    <row r="30" spans="1:34" x14ac:dyDescent="0.2">
      <c r="A30" s="105"/>
      <c r="B30" s="646" t="s">
        <v>174</v>
      </c>
      <c r="C30" s="647"/>
      <c r="D30" s="647"/>
      <c r="E30" s="647"/>
      <c r="F30" s="647"/>
      <c r="G30" s="647"/>
      <c r="H30" s="647"/>
      <c r="I30" s="647"/>
      <c r="J30" s="647"/>
      <c r="K30" s="647"/>
      <c r="L30" s="647"/>
      <c r="M30" s="647"/>
      <c r="N30" s="647"/>
      <c r="O30" s="647"/>
      <c r="P30" s="647"/>
      <c r="Q30" s="647"/>
      <c r="R30" s="647"/>
      <c r="S30" s="647"/>
      <c r="T30" s="647"/>
      <c r="U30" s="647"/>
      <c r="V30" s="647"/>
      <c r="W30" s="647"/>
      <c r="X30" s="647"/>
      <c r="Y30" s="647"/>
      <c r="Z30" s="647"/>
      <c r="AA30" s="647"/>
      <c r="AB30" s="648"/>
    </row>
    <row r="31" spans="1:34" ht="12.75" customHeight="1" x14ac:dyDescent="0.2">
      <c r="A31" s="105"/>
      <c r="B31" s="596"/>
      <c r="C31" s="597"/>
      <c r="D31" s="597"/>
      <c r="E31" s="597"/>
      <c r="F31" s="597"/>
      <c r="G31" s="597"/>
      <c r="H31" s="597"/>
      <c r="I31" s="597"/>
      <c r="J31" s="597"/>
      <c r="K31" s="597"/>
      <c r="L31" s="597"/>
      <c r="M31" s="597"/>
      <c r="N31" s="597"/>
      <c r="O31" s="597"/>
      <c r="P31" s="597"/>
      <c r="Q31" s="597"/>
      <c r="R31" s="597"/>
      <c r="S31" s="597"/>
      <c r="T31" s="597"/>
      <c r="U31" s="597"/>
      <c r="V31" s="597"/>
      <c r="W31" s="597"/>
      <c r="X31" s="597"/>
      <c r="Y31" s="597"/>
      <c r="Z31" s="597"/>
      <c r="AA31" s="597"/>
      <c r="AB31" s="626"/>
    </row>
    <row r="32" spans="1:34" ht="18" customHeight="1" x14ac:dyDescent="0.25">
      <c r="A32" s="102"/>
      <c r="B32" s="576" t="s">
        <v>42</v>
      </c>
      <c r="C32" s="577"/>
      <c r="D32" s="577"/>
      <c r="E32" s="577"/>
      <c r="F32" s="577"/>
      <c r="G32" s="577"/>
      <c r="H32" s="577"/>
      <c r="I32" s="577"/>
      <c r="J32" s="399" t="s">
        <v>43</v>
      </c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640"/>
      <c r="X32" s="641"/>
      <c r="Y32" s="641"/>
      <c r="Z32" s="641"/>
      <c r="AA32" s="641"/>
      <c r="AB32" s="642"/>
    </row>
    <row r="33" spans="1:29" s="184" customFormat="1" ht="14.25" customHeight="1" x14ac:dyDescent="0.2">
      <c r="A33" s="65"/>
      <c r="B33" s="646" t="s">
        <v>52</v>
      </c>
      <c r="C33" s="662"/>
      <c r="D33" s="662"/>
      <c r="E33" s="342"/>
      <c r="F33" s="646" t="s">
        <v>53</v>
      </c>
      <c r="G33" s="662"/>
      <c r="H33" s="662"/>
      <c r="I33" s="682"/>
      <c r="J33" s="254"/>
      <c r="K33" s="414"/>
      <c r="L33" s="414"/>
      <c r="M33" s="414"/>
      <c r="N33" s="414"/>
      <c r="O33" s="414"/>
      <c r="P33" s="418"/>
      <c r="Q33" s="418"/>
      <c r="R33" s="418"/>
      <c r="S33" s="418"/>
      <c r="T33" s="418"/>
      <c r="U33" s="418"/>
      <c r="V33" s="418"/>
      <c r="W33" s="329"/>
      <c r="X33" s="410"/>
      <c r="Y33" s="410"/>
      <c r="Z33" s="410"/>
      <c r="AA33" s="410"/>
      <c r="AB33" s="328"/>
    </row>
    <row r="34" spans="1:29" ht="15" customHeight="1" x14ac:dyDescent="0.2">
      <c r="A34" s="341"/>
      <c r="B34" s="666"/>
      <c r="C34" s="667"/>
      <c r="D34" s="667"/>
      <c r="E34" s="668"/>
      <c r="F34" s="663"/>
      <c r="G34" s="664"/>
      <c r="H34" s="664"/>
      <c r="I34" s="665"/>
      <c r="J34" s="414"/>
      <c r="K34" s="414"/>
      <c r="L34" s="414"/>
      <c r="M34" s="414"/>
      <c r="N34" s="414"/>
      <c r="O34" s="414"/>
      <c r="P34" s="418"/>
      <c r="Q34" s="418"/>
      <c r="R34" s="418"/>
      <c r="S34" s="418"/>
      <c r="T34" s="418"/>
      <c r="U34" s="418"/>
      <c r="V34" s="418"/>
      <c r="W34" s="679"/>
      <c r="X34" s="680"/>
      <c r="Y34" s="680"/>
      <c r="Z34" s="680"/>
      <c r="AA34" s="680"/>
      <c r="AB34" s="681"/>
    </row>
    <row r="35" spans="1:29" ht="15.75" customHeight="1" x14ac:dyDescent="0.25">
      <c r="A35" s="105"/>
      <c r="B35" s="91" t="s">
        <v>112</v>
      </c>
      <c r="L35" s="90"/>
      <c r="AB35" s="161"/>
    </row>
    <row r="36" spans="1:29" s="183" customFormat="1" ht="18" customHeight="1" x14ac:dyDescent="0.25">
      <c r="A36" s="106"/>
      <c r="B36" s="80"/>
      <c r="L36" s="80"/>
      <c r="V36" s="617" t="str">
        <f ca="1">IF(OR(GEK="Übergangsregion Trier", GEK="Stdt. Trier",GEK="Lkr. Trier-Saarburg",GEK="Lkr. Bernkastel-Wittlich",GEK="Vulkaneifelkreis",GEK="Lkr. Bitburg-Prüm"),"Übergangsregion (ÜR)"," ")</f>
        <v xml:space="preserve"> </v>
      </c>
      <c r="W36" s="618"/>
      <c r="X36" s="618"/>
      <c r="Y36" s="618"/>
      <c r="Z36" s="618"/>
      <c r="AA36" s="618"/>
      <c r="AB36" s="618"/>
    </row>
    <row r="37" spans="1:29" ht="28.5" customHeight="1" x14ac:dyDescent="0.2">
      <c r="A37" s="105"/>
      <c r="C37" s="186"/>
      <c r="L37" s="90"/>
      <c r="U37" s="460" t="str">
        <f ca="1">IF(OR(GEK="Übergangsregion Trier",GEK="Stdt. Trier",GEK="Lkr. Trier-Saarburg",GEK="Lkr. Bernkastel-Wittlich",GEK="Vulkaneifelkreis",GEK="Lkr. Bitburg-Prüm",GEK="Bitte auswählen"),"","Stärker entwickelte Region (SER)")</f>
        <v/>
      </c>
      <c r="V37" s="461"/>
      <c r="W37" s="461"/>
      <c r="X37" s="461"/>
      <c r="Y37" s="461"/>
      <c r="Z37" s="461"/>
      <c r="AA37" s="461"/>
      <c r="AB37" s="461"/>
    </row>
    <row r="38" spans="1:29" s="184" customFormat="1" ht="5.25" customHeight="1" x14ac:dyDescent="0.2">
      <c r="A38" s="107"/>
      <c r="B38" s="376"/>
      <c r="C38" s="377"/>
      <c r="D38" s="377"/>
      <c r="E38" s="187"/>
      <c r="F38" s="187"/>
      <c r="G38" s="187"/>
      <c r="H38" s="187"/>
      <c r="I38" s="187"/>
      <c r="J38" s="187"/>
      <c r="K38" s="187"/>
      <c r="L38" s="188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286"/>
      <c r="AC38" s="159"/>
    </row>
    <row r="39" spans="1:29" ht="16.5" customHeight="1" x14ac:dyDescent="0.25">
      <c r="A39" s="108"/>
      <c r="B39" s="378" t="s">
        <v>928</v>
      </c>
      <c r="C39" s="395"/>
      <c r="D39" s="166"/>
      <c r="E39" s="166"/>
      <c r="F39" s="90"/>
      <c r="G39" s="166"/>
      <c r="H39" s="166"/>
      <c r="I39" s="166"/>
      <c r="J39" s="166"/>
      <c r="K39" s="396"/>
      <c r="L39" s="166"/>
      <c r="M39" s="166"/>
      <c r="N39" s="166"/>
      <c r="O39" s="189"/>
      <c r="P39" s="189"/>
      <c r="Q39" s="396"/>
      <c r="R39" s="401"/>
      <c r="S39" s="166"/>
      <c r="T39" s="166"/>
      <c r="U39" s="166"/>
      <c r="V39" s="166"/>
      <c r="W39" s="166"/>
      <c r="X39" s="166"/>
      <c r="Y39" s="166"/>
      <c r="Z39" s="166"/>
      <c r="AA39" s="166"/>
      <c r="AB39" s="161"/>
    </row>
    <row r="40" spans="1:29" s="184" customFormat="1" ht="18.600000000000001" customHeight="1" x14ac:dyDescent="0.2">
      <c r="A40" s="109"/>
      <c r="B40" s="697" t="s">
        <v>933</v>
      </c>
      <c r="C40" s="644"/>
      <c r="D40" s="644"/>
      <c r="E40" s="644"/>
      <c r="F40" s="644"/>
      <c r="G40" s="644"/>
      <c r="H40" s="644"/>
      <c r="I40" s="644"/>
      <c r="J40" s="644"/>
      <c r="K40" s="644"/>
      <c r="L40" s="644"/>
      <c r="M40" s="644"/>
      <c r="N40" s="644"/>
      <c r="O40" s="644"/>
      <c r="P40" s="192"/>
      <c r="Q40" s="191"/>
      <c r="R40" s="406"/>
      <c r="S40" s="190"/>
      <c r="T40" s="190"/>
      <c r="U40" s="190"/>
      <c r="V40" s="190"/>
      <c r="W40" s="190"/>
      <c r="X40" s="190"/>
      <c r="Y40" s="190"/>
      <c r="Z40" s="190"/>
      <c r="AA40" s="190"/>
      <c r="AB40" s="185"/>
    </row>
    <row r="41" spans="1:29" ht="20.25" customHeight="1" x14ac:dyDescent="0.2">
      <c r="A41" s="105"/>
      <c r="B41" s="338"/>
      <c r="C41" s="166"/>
      <c r="D41" s="166"/>
      <c r="E41" s="166"/>
      <c r="F41" s="90"/>
      <c r="G41" s="166"/>
      <c r="H41" s="166"/>
      <c r="I41" s="401"/>
      <c r="J41" s="166"/>
      <c r="K41" s="219"/>
      <c r="L41" s="166"/>
      <c r="M41" s="166"/>
      <c r="N41" s="166"/>
      <c r="O41" s="166"/>
      <c r="P41" s="166"/>
      <c r="Q41" s="166"/>
      <c r="R41" s="166"/>
      <c r="S41" s="166"/>
      <c r="T41" s="219"/>
      <c r="U41" s="166"/>
      <c r="V41" s="166"/>
      <c r="W41" s="166"/>
      <c r="X41" s="166"/>
      <c r="Y41" s="166"/>
      <c r="Z41" s="166"/>
      <c r="AA41" s="166"/>
      <c r="AB41" s="161"/>
    </row>
    <row r="42" spans="1:29" s="195" customFormat="1" ht="13.5" customHeight="1" x14ac:dyDescent="0.2">
      <c r="A42" s="193"/>
      <c r="B42" s="339" t="s">
        <v>783</v>
      </c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194"/>
      <c r="AC42" s="405"/>
    </row>
    <row r="43" spans="1:29" ht="20.25" customHeight="1" x14ac:dyDescent="0.2">
      <c r="A43" s="105"/>
      <c r="B43" s="340"/>
      <c r="C43" s="196"/>
      <c r="D43" s="196"/>
      <c r="E43" s="196"/>
      <c r="F43" s="197"/>
      <c r="G43" s="196"/>
      <c r="H43" s="196"/>
      <c r="I43" s="198"/>
      <c r="J43" s="196"/>
      <c r="K43" s="199"/>
      <c r="L43" s="196"/>
      <c r="M43" s="196"/>
      <c r="N43" s="196"/>
      <c r="O43" s="196"/>
      <c r="P43" s="196"/>
      <c r="Q43" s="196"/>
      <c r="R43" s="196"/>
      <c r="S43" s="196"/>
      <c r="T43" s="199"/>
      <c r="U43" s="196"/>
      <c r="V43" s="196"/>
      <c r="W43" s="196"/>
      <c r="X43" s="196"/>
      <c r="Y43" s="196"/>
      <c r="Z43" s="196"/>
      <c r="AA43" s="196"/>
      <c r="AB43" s="287"/>
    </row>
    <row r="44" spans="1:29" ht="15" x14ac:dyDescent="0.2">
      <c r="A44" s="105"/>
      <c r="B44" s="691" t="s">
        <v>182</v>
      </c>
      <c r="C44" s="691"/>
      <c r="D44" s="691"/>
      <c r="E44" s="691"/>
      <c r="F44" s="691"/>
      <c r="G44" s="537"/>
      <c r="H44" s="537"/>
      <c r="I44" s="537"/>
      <c r="J44" s="537"/>
      <c r="K44" s="537"/>
      <c r="L44" s="537"/>
      <c r="M44" s="537"/>
      <c r="N44" s="537"/>
      <c r="O44" s="166"/>
      <c r="P44" s="691"/>
      <c r="Q44" s="692"/>
      <c r="R44" s="692"/>
      <c r="S44" s="692"/>
      <c r="T44" s="692"/>
      <c r="U44" s="692"/>
      <c r="V44" s="692"/>
      <c r="W44" s="692"/>
      <c r="X44" s="692"/>
      <c r="Y44" s="692"/>
      <c r="Z44" s="692"/>
      <c r="AA44" s="692"/>
      <c r="AB44" s="161"/>
    </row>
    <row r="45" spans="1:29" ht="21.95" customHeight="1" x14ac:dyDescent="0.2">
      <c r="A45" s="105"/>
      <c r="B45" s="201"/>
      <c r="C45" s="200"/>
      <c r="D45" s="200"/>
      <c r="E45" s="200"/>
      <c r="F45" s="200"/>
      <c r="G45" s="200"/>
      <c r="H45" s="200"/>
      <c r="I45" s="200"/>
      <c r="J45" s="200"/>
      <c r="K45" s="200"/>
      <c r="L45" s="201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85"/>
    </row>
    <row r="46" spans="1:29" ht="15" x14ac:dyDescent="0.25">
      <c r="A46" s="105"/>
      <c r="B46" s="576" t="s">
        <v>141</v>
      </c>
      <c r="C46" s="577"/>
      <c r="D46" s="577"/>
      <c r="E46" s="577"/>
      <c r="F46" s="577"/>
      <c r="G46" s="577"/>
      <c r="H46" s="577"/>
      <c r="I46" s="577"/>
      <c r="L46" s="90"/>
      <c r="AB46" s="161"/>
    </row>
    <row r="47" spans="1:29" ht="20.25" customHeight="1" x14ac:dyDescent="0.2">
      <c r="A47" s="105"/>
      <c r="B47" s="671" t="s">
        <v>207</v>
      </c>
      <c r="C47" s="672"/>
      <c r="D47" s="672"/>
      <c r="E47" s="672"/>
      <c r="F47" s="575"/>
      <c r="G47" s="575"/>
      <c r="H47" s="575"/>
      <c r="I47" s="202"/>
      <c r="J47" s="669" t="s">
        <v>929</v>
      </c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  <c r="V47" s="670"/>
      <c r="W47" s="670"/>
      <c r="X47" s="670"/>
      <c r="Y47" s="670"/>
      <c r="Z47" s="670"/>
      <c r="AA47" s="670"/>
      <c r="AB47" s="161"/>
    </row>
    <row r="48" spans="1:29" ht="18.600000000000001" customHeight="1" x14ac:dyDescent="0.2">
      <c r="A48" s="105"/>
      <c r="B48" s="203" t="s">
        <v>269</v>
      </c>
      <c r="C48" s="203"/>
      <c r="D48" s="203"/>
      <c r="E48" s="415"/>
      <c r="F48" s="575"/>
      <c r="G48" s="575"/>
      <c r="H48" s="575"/>
      <c r="J48" s="395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4"/>
      <c r="X48" s="394"/>
      <c r="Y48" s="394"/>
      <c r="Z48" s="394"/>
      <c r="AA48" s="394"/>
      <c r="AB48" s="161"/>
    </row>
    <row r="49" spans="1:56" ht="18" customHeight="1" x14ac:dyDescent="0.2">
      <c r="A49" s="105"/>
      <c r="B49" s="415" t="s">
        <v>45</v>
      </c>
      <c r="C49" s="204"/>
      <c r="D49" s="204"/>
      <c r="E49" s="204"/>
      <c r="F49" s="575"/>
      <c r="G49" s="575"/>
      <c r="H49" s="575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4"/>
      <c r="V49" s="394"/>
      <c r="W49" s="394"/>
      <c r="X49" s="394"/>
      <c r="Y49" s="394"/>
      <c r="Z49" s="394"/>
      <c r="AA49" s="394"/>
      <c r="AB49" s="161"/>
    </row>
    <row r="50" spans="1:56" ht="17.45" customHeight="1" x14ac:dyDescent="0.2">
      <c r="A50" s="105"/>
      <c r="B50" s="379" t="s">
        <v>44</v>
      </c>
      <c r="C50" s="380"/>
      <c r="D50" s="380"/>
      <c r="E50" s="380"/>
      <c r="F50" s="678"/>
      <c r="G50" s="678"/>
      <c r="H50" s="678"/>
      <c r="J50" s="693" t="s">
        <v>727</v>
      </c>
      <c r="K50" s="694"/>
      <c r="L50" s="694"/>
      <c r="M50" s="694"/>
      <c r="N50" s="694"/>
      <c r="O50" s="694"/>
      <c r="P50" s="694"/>
      <c r="Q50" s="694"/>
      <c r="R50" s="694"/>
      <c r="S50" s="694"/>
      <c r="T50" s="694"/>
      <c r="U50" s="694"/>
      <c r="V50" s="694"/>
      <c r="W50" s="694"/>
      <c r="X50" s="694"/>
      <c r="Y50" s="694"/>
      <c r="Z50" s="694"/>
      <c r="AA50" s="694"/>
      <c r="AB50" s="648"/>
    </row>
    <row r="51" spans="1:56" ht="14.25" customHeight="1" x14ac:dyDescent="0.2">
      <c r="A51" s="105"/>
      <c r="B51" s="676" t="s">
        <v>955</v>
      </c>
      <c r="C51" s="677"/>
      <c r="D51" s="677"/>
      <c r="E51" s="677"/>
      <c r="F51" s="678"/>
      <c r="G51" s="678"/>
      <c r="H51" s="678"/>
      <c r="I51" s="166"/>
      <c r="J51" s="695"/>
      <c r="K51" s="696"/>
      <c r="L51" s="696"/>
      <c r="M51" s="696"/>
      <c r="N51" s="696"/>
      <c r="O51" s="696"/>
      <c r="P51" s="696"/>
      <c r="Q51" s="696"/>
      <c r="R51" s="696"/>
      <c r="S51" s="696"/>
      <c r="T51" s="696"/>
      <c r="U51" s="696"/>
      <c r="V51" s="696"/>
      <c r="W51" s="696"/>
      <c r="X51" s="696"/>
      <c r="Y51" s="696"/>
      <c r="Z51" s="696"/>
      <c r="AA51" s="696"/>
      <c r="AB51" s="645"/>
    </row>
    <row r="52" spans="1:56" ht="15" customHeight="1" x14ac:dyDescent="0.2">
      <c r="A52" s="105"/>
      <c r="B52" s="683"/>
      <c r="C52" s="674"/>
      <c r="D52" s="674"/>
      <c r="E52" s="674"/>
      <c r="F52" s="675"/>
      <c r="G52" s="675"/>
      <c r="H52" s="675"/>
      <c r="I52" s="166"/>
      <c r="J52" s="684"/>
      <c r="K52" s="685"/>
      <c r="L52" s="685"/>
      <c r="M52" s="685"/>
      <c r="N52" s="685"/>
      <c r="O52" s="685"/>
      <c r="P52" s="685"/>
      <c r="Q52" s="685"/>
      <c r="R52" s="685"/>
      <c r="S52" s="685"/>
      <c r="T52" s="685"/>
      <c r="U52" s="685"/>
      <c r="V52" s="685"/>
      <c r="W52" s="685"/>
      <c r="X52" s="685"/>
      <c r="Y52" s="685"/>
      <c r="Z52" s="685"/>
      <c r="AA52" s="685"/>
      <c r="AB52" s="686"/>
    </row>
    <row r="53" spans="1:56" ht="16.5" customHeight="1" x14ac:dyDescent="0.2">
      <c r="A53" s="105"/>
      <c r="B53" s="683"/>
      <c r="C53" s="674"/>
      <c r="D53" s="674"/>
      <c r="E53" s="674"/>
      <c r="F53" s="675"/>
      <c r="G53" s="675"/>
      <c r="H53" s="675"/>
      <c r="I53" s="166"/>
      <c r="J53" s="687"/>
      <c r="K53" s="685"/>
      <c r="L53" s="685"/>
      <c r="M53" s="685"/>
      <c r="N53" s="685"/>
      <c r="O53" s="685"/>
      <c r="P53" s="685"/>
      <c r="Q53" s="685"/>
      <c r="R53" s="685"/>
      <c r="S53" s="685"/>
      <c r="T53" s="685"/>
      <c r="U53" s="685"/>
      <c r="V53" s="685"/>
      <c r="W53" s="685"/>
      <c r="X53" s="685"/>
      <c r="Y53" s="685"/>
      <c r="Z53" s="685"/>
      <c r="AA53" s="685"/>
      <c r="AB53" s="686"/>
      <c r="AF53" s="245"/>
    </row>
    <row r="54" spans="1:56" ht="16.5" customHeight="1" x14ac:dyDescent="0.2">
      <c r="A54" s="105"/>
      <c r="B54" s="673"/>
      <c r="C54" s="674"/>
      <c r="D54" s="674"/>
      <c r="E54" s="674"/>
      <c r="F54" s="675"/>
      <c r="G54" s="675"/>
      <c r="H54" s="675"/>
      <c r="I54" s="166"/>
      <c r="J54" s="687"/>
      <c r="K54" s="685"/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5"/>
      <c r="W54" s="685"/>
      <c r="X54" s="685"/>
      <c r="Y54" s="685"/>
      <c r="Z54" s="685"/>
      <c r="AA54" s="685"/>
      <c r="AB54" s="686"/>
      <c r="AF54" s="245"/>
    </row>
    <row r="55" spans="1:56" ht="4.5" customHeight="1" x14ac:dyDescent="0.25">
      <c r="A55" s="105"/>
      <c r="B55" s="585" t="s">
        <v>923</v>
      </c>
      <c r="C55" s="586"/>
      <c r="D55" s="586"/>
      <c r="E55" s="586"/>
      <c r="F55" s="587"/>
      <c r="G55" s="587"/>
      <c r="H55" s="587"/>
      <c r="I55" s="588"/>
      <c r="J55" s="687"/>
      <c r="K55" s="685"/>
      <c r="L55" s="685"/>
      <c r="M55" s="685"/>
      <c r="N55" s="685"/>
      <c r="O55" s="685"/>
      <c r="P55" s="685"/>
      <c r="Q55" s="685"/>
      <c r="R55" s="685"/>
      <c r="S55" s="685"/>
      <c r="T55" s="685"/>
      <c r="U55" s="685"/>
      <c r="V55" s="685"/>
      <c r="W55" s="685"/>
      <c r="X55" s="685"/>
      <c r="Y55" s="685"/>
      <c r="Z55" s="685"/>
      <c r="AA55" s="685"/>
      <c r="AB55" s="686"/>
    </row>
    <row r="56" spans="1:56" ht="14.25" hidden="1" customHeight="1" x14ac:dyDescent="0.2">
      <c r="A56" s="308"/>
      <c r="B56" s="472" t="s">
        <v>726</v>
      </c>
      <c r="C56" s="472"/>
      <c r="D56" s="472"/>
      <c r="E56" s="472"/>
      <c r="F56" s="584"/>
      <c r="G56" s="584"/>
      <c r="H56" s="584"/>
      <c r="I56" s="368"/>
      <c r="J56" s="688"/>
      <c r="K56" s="689"/>
      <c r="L56" s="689"/>
      <c r="M56" s="689"/>
      <c r="N56" s="689"/>
      <c r="O56" s="689"/>
      <c r="P56" s="689"/>
      <c r="Q56" s="689"/>
      <c r="R56" s="689"/>
      <c r="S56" s="689"/>
      <c r="T56" s="689"/>
      <c r="U56" s="689"/>
      <c r="V56" s="689"/>
      <c r="W56" s="689"/>
      <c r="X56" s="689"/>
      <c r="Y56" s="689"/>
      <c r="Z56" s="689"/>
      <c r="AA56" s="689"/>
      <c r="AB56" s="690"/>
    </row>
    <row r="57" spans="1:56" ht="0.75" customHeight="1" x14ac:dyDescent="0.2">
      <c r="B57" s="309"/>
      <c r="C57" s="196"/>
      <c r="D57" s="196"/>
      <c r="E57" s="196"/>
      <c r="F57" s="196"/>
      <c r="G57" s="196"/>
      <c r="H57" s="196"/>
      <c r="I57" s="198"/>
      <c r="J57" s="196"/>
      <c r="K57" s="199"/>
      <c r="L57" s="196"/>
      <c r="M57" s="196"/>
      <c r="N57" s="197"/>
      <c r="O57" s="196"/>
      <c r="P57" s="196"/>
      <c r="Q57" s="199"/>
      <c r="R57" s="196"/>
      <c r="S57" s="196"/>
      <c r="T57" s="309"/>
      <c r="U57" s="309"/>
      <c r="V57" s="309"/>
      <c r="W57" s="197"/>
      <c r="X57" s="197"/>
      <c r="Y57" s="197"/>
      <c r="Z57" s="196"/>
      <c r="AA57" s="196"/>
      <c r="AB57" s="309"/>
    </row>
    <row r="58" spans="1:56" x14ac:dyDescent="0.2">
      <c r="C58" s="166"/>
      <c r="D58" s="166"/>
      <c r="E58" s="166"/>
      <c r="F58" s="166"/>
      <c r="G58" s="166"/>
      <c r="H58" s="166"/>
      <c r="I58" s="401"/>
      <c r="J58" s="166"/>
      <c r="K58" s="219"/>
      <c r="L58" s="166"/>
      <c r="M58" s="166"/>
      <c r="N58" s="90"/>
      <c r="O58" s="166"/>
      <c r="P58" s="166"/>
      <c r="Q58" s="219"/>
      <c r="R58" s="166"/>
      <c r="S58" s="166"/>
      <c r="W58" s="90"/>
      <c r="X58" s="90"/>
      <c r="Y58" s="90"/>
      <c r="Z58" s="166"/>
      <c r="AA58" s="166"/>
    </row>
    <row r="59" spans="1:56" s="169" customFormat="1" ht="15" customHeight="1" x14ac:dyDescent="0.2">
      <c r="A59" s="165" t="s">
        <v>229</v>
      </c>
      <c r="B59" s="205" t="s">
        <v>99</v>
      </c>
      <c r="C59" s="206"/>
      <c r="D59" s="205"/>
      <c r="E59" s="206"/>
      <c r="K59" s="159"/>
      <c r="AD59" s="159"/>
      <c r="AE59" s="159"/>
      <c r="AL59" s="207"/>
      <c r="AM59" s="64"/>
      <c r="AN59" s="159"/>
      <c r="AO59" s="159"/>
      <c r="AQ59" s="159"/>
      <c r="AS59" s="208"/>
      <c r="AT59" s="159"/>
      <c r="AU59" s="159"/>
      <c r="AV59" s="159"/>
      <c r="AW59" s="159"/>
      <c r="AX59" s="159"/>
      <c r="BC59" s="159"/>
      <c r="BD59" s="159"/>
    </row>
    <row r="60" spans="1:56" ht="14.25" customHeight="1" x14ac:dyDescent="0.2">
      <c r="A60" s="90"/>
      <c r="B60" s="318"/>
      <c r="C60" s="178"/>
      <c r="D60" s="178"/>
      <c r="E60" s="703" t="s">
        <v>77</v>
      </c>
      <c r="F60" s="703"/>
      <c r="G60" s="703"/>
      <c r="H60" s="703"/>
      <c r="I60" s="703"/>
      <c r="J60" s="703"/>
      <c r="K60" s="703"/>
      <c r="L60" s="704"/>
      <c r="M60" s="473" t="s">
        <v>76</v>
      </c>
      <c r="N60" s="474"/>
      <c r="O60" s="475"/>
      <c r="P60" s="714" t="s">
        <v>880</v>
      </c>
      <c r="Q60" s="714"/>
      <c r="R60" s="714"/>
      <c r="S60" s="718" t="s">
        <v>970</v>
      </c>
      <c r="T60" s="718"/>
      <c r="U60" s="718"/>
      <c r="V60" s="383"/>
      <c r="W60" s="454" t="s">
        <v>972</v>
      </c>
      <c r="X60" s="455"/>
      <c r="Y60" s="455"/>
      <c r="Z60" s="455"/>
      <c r="AA60" s="455"/>
      <c r="AB60" s="456"/>
      <c r="AL60" s="207"/>
      <c r="AM60" s="64"/>
      <c r="AS60" s="208"/>
    </row>
    <row r="61" spans="1:56" ht="21.75" customHeight="1" x14ac:dyDescent="0.2">
      <c r="A61" s="90"/>
      <c r="E61" s="460"/>
      <c r="F61" s="460"/>
      <c r="G61" s="460"/>
      <c r="H61" s="460"/>
      <c r="I61" s="460"/>
      <c r="J61" s="460"/>
      <c r="K61" s="460"/>
      <c r="L61" s="705"/>
      <c r="M61" s="715">
        <f>SUM(M62:O80)</f>
        <v>0</v>
      </c>
      <c r="N61" s="716"/>
      <c r="O61" s="717"/>
      <c r="P61" s="698">
        <f>SUM(P62:R80)</f>
        <v>0</v>
      </c>
      <c r="Q61" s="698"/>
      <c r="R61" s="698"/>
      <c r="S61" s="698">
        <f>SUM(S62:U80)</f>
        <v>0</v>
      </c>
      <c r="T61" s="698"/>
      <c r="U61" s="698"/>
      <c r="V61" s="384"/>
      <c r="W61" s="457"/>
      <c r="X61" s="458"/>
      <c r="Y61" s="458"/>
      <c r="Z61" s="458"/>
      <c r="AA61" s="458"/>
      <c r="AB61" s="459"/>
      <c r="AK61" s="207"/>
      <c r="AL61" s="64"/>
      <c r="AR61" s="208"/>
    </row>
    <row r="62" spans="1:56" ht="22.9" customHeight="1" x14ac:dyDescent="0.2">
      <c r="A62" s="319"/>
      <c r="B62" s="509" t="s">
        <v>358</v>
      </c>
      <c r="C62" s="510"/>
      <c r="D62" s="511"/>
      <c r="E62" s="719" t="s">
        <v>208</v>
      </c>
      <c r="F62" s="720"/>
      <c r="G62" s="720"/>
      <c r="H62" s="720"/>
      <c r="I62" s="720"/>
      <c r="J62" s="720"/>
      <c r="K62" s="720"/>
      <c r="L62" s="721"/>
      <c r="M62" s="468">
        <f t="shared" ref="M62:M67" si="0">SUM(P62:Y62)</f>
        <v>0</v>
      </c>
      <c r="N62" s="469"/>
      <c r="O62" s="470"/>
      <c r="P62" s="471"/>
      <c r="Q62" s="471"/>
      <c r="R62" s="471"/>
      <c r="S62" s="471"/>
      <c r="T62" s="471"/>
      <c r="U62" s="471"/>
      <c r="V62" s="382"/>
      <c r="W62" s="722" t="s">
        <v>973</v>
      </c>
      <c r="X62" s="723"/>
      <c r="Y62" s="724"/>
      <c r="Z62" s="451" t="s">
        <v>974</v>
      </c>
      <c r="AA62" s="452"/>
      <c r="AB62" s="453"/>
      <c r="AF62" s="245"/>
      <c r="AK62" s="207"/>
      <c r="AL62" s="64"/>
      <c r="AR62" s="208"/>
    </row>
    <row r="63" spans="1:56" ht="22.9" customHeight="1" x14ac:dyDescent="0.2">
      <c r="A63" s="319"/>
      <c r="B63" s="512"/>
      <c r="C63" s="513"/>
      <c r="D63" s="514"/>
      <c r="E63" s="462" t="s">
        <v>881</v>
      </c>
      <c r="F63" s="463"/>
      <c r="G63" s="463"/>
      <c r="H63" s="463"/>
      <c r="I63" s="463"/>
      <c r="J63" s="463"/>
      <c r="K63" s="463"/>
      <c r="L63" s="464"/>
      <c r="M63" s="468">
        <f t="shared" si="0"/>
        <v>0</v>
      </c>
      <c r="N63" s="469"/>
      <c r="O63" s="470"/>
      <c r="P63" s="471"/>
      <c r="Q63" s="471"/>
      <c r="R63" s="471"/>
      <c r="S63" s="471"/>
      <c r="T63" s="471"/>
      <c r="U63" s="471"/>
      <c r="V63" s="382"/>
      <c r="W63" s="725" t="s">
        <v>975</v>
      </c>
      <c r="X63" s="446"/>
      <c r="Y63" s="447"/>
      <c r="Z63" s="429"/>
      <c r="AA63" s="430"/>
      <c r="AB63" s="431"/>
      <c r="AE63" s="245"/>
      <c r="AK63" s="207"/>
      <c r="AL63" s="64"/>
      <c r="AR63" s="208"/>
    </row>
    <row r="64" spans="1:56" ht="22.9" customHeight="1" x14ac:dyDescent="0.2">
      <c r="A64" s="319"/>
      <c r="B64" s="512"/>
      <c r="C64" s="513"/>
      <c r="D64" s="514"/>
      <c r="E64" s="462" t="s">
        <v>940</v>
      </c>
      <c r="F64" s="463"/>
      <c r="G64" s="463"/>
      <c r="H64" s="463"/>
      <c r="I64" s="463"/>
      <c r="J64" s="463"/>
      <c r="K64" s="463"/>
      <c r="L64" s="464"/>
      <c r="M64" s="468">
        <f t="shared" si="0"/>
        <v>0</v>
      </c>
      <c r="N64" s="469"/>
      <c r="O64" s="470"/>
      <c r="P64" s="471"/>
      <c r="Q64" s="471"/>
      <c r="R64" s="471"/>
      <c r="S64" s="471"/>
      <c r="T64" s="471"/>
      <c r="U64" s="471"/>
      <c r="V64" s="382"/>
      <c r="W64" s="725" t="s">
        <v>976</v>
      </c>
      <c r="X64" s="446"/>
      <c r="Y64" s="447"/>
      <c r="Z64" s="429"/>
      <c r="AA64" s="430"/>
      <c r="AB64" s="431"/>
      <c r="AE64" s="245"/>
      <c r="AF64" s="389"/>
      <c r="AK64" s="207"/>
      <c r="AL64" s="64"/>
      <c r="AR64" s="208"/>
    </row>
    <row r="65" spans="1:44" ht="22.9" customHeight="1" x14ac:dyDescent="0.2">
      <c r="A65" s="319"/>
      <c r="B65" s="512"/>
      <c r="C65" s="513"/>
      <c r="D65" s="514"/>
      <c r="E65" s="462" t="s">
        <v>882</v>
      </c>
      <c r="F65" s="463"/>
      <c r="G65" s="463"/>
      <c r="H65" s="463"/>
      <c r="I65" s="463"/>
      <c r="J65" s="463"/>
      <c r="K65" s="463"/>
      <c r="L65" s="464"/>
      <c r="M65" s="468">
        <f>SUM(P65:Y65)</f>
        <v>0</v>
      </c>
      <c r="N65" s="469"/>
      <c r="O65" s="470"/>
      <c r="P65" s="581"/>
      <c r="Q65" s="582"/>
      <c r="R65" s="583"/>
      <c r="S65" s="581"/>
      <c r="T65" s="582"/>
      <c r="U65" s="583"/>
      <c r="V65" s="382"/>
      <c r="W65" s="423" t="s">
        <v>977</v>
      </c>
      <c r="X65" s="424"/>
      <c r="Y65" s="425"/>
      <c r="Z65" s="420"/>
      <c r="AA65" s="421"/>
      <c r="AB65" s="422"/>
      <c r="AE65" s="245"/>
      <c r="AK65" s="207"/>
      <c r="AL65" s="64"/>
      <c r="AR65" s="208"/>
    </row>
    <row r="66" spans="1:44" ht="22.9" customHeight="1" x14ac:dyDescent="0.2">
      <c r="A66" s="319"/>
      <c r="B66" s="512"/>
      <c r="C66" s="513"/>
      <c r="D66" s="514"/>
      <c r="E66" s="391" t="s">
        <v>883</v>
      </c>
      <c r="F66" s="416"/>
      <c r="G66" s="416"/>
      <c r="H66" s="416"/>
      <c r="I66" s="416"/>
      <c r="J66" s="416"/>
      <c r="K66" s="416"/>
      <c r="L66" s="417"/>
      <c r="M66" s="468">
        <f t="shared" si="0"/>
        <v>0</v>
      </c>
      <c r="N66" s="469"/>
      <c r="O66" s="470"/>
      <c r="P66" s="471"/>
      <c r="Q66" s="471"/>
      <c r="R66" s="471"/>
      <c r="S66" s="471"/>
      <c r="T66" s="471"/>
      <c r="U66" s="471"/>
      <c r="V66" s="382"/>
      <c r="W66" s="426" t="s">
        <v>36</v>
      </c>
      <c r="X66" s="426"/>
      <c r="Y66" s="426"/>
      <c r="Z66" s="432">
        <f>SUM(Z63:AB65)</f>
        <v>0</v>
      </c>
      <c r="AA66" s="432"/>
      <c r="AB66" s="432"/>
      <c r="AE66" s="245"/>
      <c r="AK66" s="207"/>
      <c r="AL66" s="64"/>
      <c r="AR66" s="208"/>
    </row>
    <row r="67" spans="1:44" ht="22.9" customHeight="1" x14ac:dyDescent="0.2">
      <c r="A67" s="319"/>
      <c r="B67" s="512"/>
      <c r="C67" s="513"/>
      <c r="D67" s="514"/>
      <c r="E67" s="462" t="s">
        <v>865</v>
      </c>
      <c r="F67" s="463"/>
      <c r="G67" s="463"/>
      <c r="H67" s="463"/>
      <c r="I67" s="463"/>
      <c r="J67" s="463"/>
      <c r="K67" s="463"/>
      <c r="L67" s="464"/>
      <c r="M67" s="468">
        <f t="shared" si="0"/>
        <v>0</v>
      </c>
      <c r="N67" s="469"/>
      <c r="O67" s="470"/>
      <c r="P67" s="471"/>
      <c r="Q67" s="471"/>
      <c r="R67" s="471"/>
      <c r="S67" s="471"/>
      <c r="T67" s="471"/>
      <c r="U67" s="471"/>
      <c r="V67" s="382"/>
      <c r="W67" s="427"/>
      <c r="X67" s="428"/>
      <c r="Y67" s="428"/>
      <c r="Z67" s="433"/>
      <c r="AA67" s="434"/>
      <c r="AB67" s="434"/>
      <c r="AE67" s="245"/>
      <c r="AK67" s="207"/>
      <c r="AL67" s="64"/>
      <c r="AR67" s="208"/>
    </row>
    <row r="68" spans="1:44" ht="17.25" customHeight="1" x14ac:dyDescent="0.2">
      <c r="A68" s="319"/>
      <c r="B68" s="512"/>
      <c r="C68" s="513"/>
      <c r="D68" s="514"/>
      <c r="E68" s="462" t="s">
        <v>814</v>
      </c>
      <c r="F68" s="463"/>
      <c r="G68" s="463"/>
      <c r="H68" s="463"/>
      <c r="I68" s="463"/>
      <c r="J68" s="463"/>
      <c r="K68" s="463"/>
      <c r="L68" s="464"/>
      <c r="M68" s="468">
        <f t="shared" ref="M68:M69" si="1">SUM(P68:AA68)</f>
        <v>0</v>
      </c>
      <c r="N68" s="469"/>
      <c r="O68" s="470"/>
      <c r="P68" s="471"/>
      <c r="Q68" s="471"/>
      <c r="R68" s="471"/>
      <c r="S68" s="471"/>
      <c r="T68" s="471"/>
      <c r="U68" s="471"/>
      <c r="V68" s="382"/>
      <c r="W68" s="382"/>
      <c r="X68" s="382"/>
      <c r="Y68" s="390"/>
      <c r="Z68" s="390"/>
      <c r="AA68" s="390"/>
      <c r="AB68" s="390"/>
      <c r="AE68" s="245"/>
      <c r="AK68" s="207"/>
      <c r="AL68" s="64"/>
      <c r="AR68" s="208"/>
    </row>
    <row r="69" spans="1:44" ht="18" customHeight="1" x14ac:dyDescent="0.2">
      <c r="A69" s="319"/>
      <c r="B69" s="512"/>
      <c r="C69" s="513"/>
      <c r="D69" s="514"/>
      <c r="E69" s="462" t="s">
        <v>884</v>
      </c>
      <c r="F69" s="463"/>
      <c r="G69" s="463"/>
      <c r="H69" s="463"/>
      <c r="I69" s="463"/>
      <c r="J69" s="463"/>
      <c r="K69" s="463"/>
      <c r="L69" s="464"/>
      <c r="M69" s="468">
        <f t="shared" si="1"/>
        <v>0</v>
      </c>
      <c r="N69" s="469"/>
      <c r="O69" s="470"/>
      <c r="P69" s="471"/>
      <c r="Q69" s="471"/>
      <c r="R69" s="471"/>
      <c r="S69" s="471"/>
      <c r="T69" s="471"/>
      <c r="U69" s="471"/>
      <c r="V69" s="382"/>
      <c r="W69" s="476" t="s">
        <v>984</v>
      </c>
      <c r="X69" s="477"/>
      <c r="Y69" s="477"/>
      <c r="Z69" s="477"/>
      <c r="AA69" s="477"/>
      <c r="AB69" s="478"/>
      <c r="AE69" s="245"/>
      <c r="AK69" s="207"/>
      <c r="AL69" s="64"/>
      <c r="AR69" s="208"/>
    </row>
    <row r="70" spans="1:44" ht="16.5" customHeight="1" x14ac:dyDescent="0.2">
      <c r="A70" s="319"/>
      <c r="B70" s="512"/>
      <c r="C70" s="513"/>
      <c r="D70" s="514"/>
      <c r="E70" s="578" t="s">
        <v>813</v>
      </c>
      <c r="F70" s="579"/>
      <c r="G70" s="579"/>
      <c r="H70" s="579"/>
      <c r="I70" s="579"/>
      <c r="J70" s="579"/>
      <c r="K70" s="579"/>
      <c r="L70" s="580"/>
      <c r="M70" s="468">
        <f t="shared" ref="M70:M80" si="2">SUM(P70:AA70)</f>
        <v>0</v>
      </c>
      <c r="N70" s="469"/>
      <c r="O70" s="470"/>
      <c r="P70" s="471"/>
      <c r="Q70" s="471"/>
      <c r="R70" s="471"/>
      <c r="S70" s="471"/>
      <c r="T70" s="471"/>
      <c r="U70" s="471"/>
      <c r="V70" s="382"/>
      <c r="W70" s="479"/>
      <c r="X70" s="480"/>
      <c r="Y70" s="480"/>
      <c r="Z70" s="480"/>
      <c r="AA70" s="480"/>
      <c r="AB70" s="481"/>
      <c r="AE70" s="245"/>
      <c r="AK70" s="207"/>
      <c r="AL70" s="64"/>
      <c r="AR70" s="208"/>
    </row>
    <row r="71" spans="1:44" ht="18.75" customHeight="1" x14ac:dyDescent="0.2">
      <c r="A71" s="319"/>
      <c r="B71" s="512"/>
      <c r="C71" s="513"/>
      <c r="D71" s="514"/>
      <c r="E71" s="462" t="s">
        <v>728</v>
      </c>
      <c r="F71" s="463"/>
      <c r="G71" s="463"/>
      <c r="H71" s="463"/>
      <c r="I71" s="463"/>
      <c r="J71" s="463"/>
      <c r="K71" s="463"/>
      <c r="L71" s="464"/>
      <c r="M71" s="468">
        <f>SUM(P71:AA71)</f>
        <v>0</v>
      </c>
      <c r="N71" s="469"/>
      <c r="O71" s="470"/>
      <c r="P71" s="471"/>
      <c r="Q71" s="471"/>
      <c r="R71" s="471"/>
      <c r="S71" s="471"/>
      <c r="T71" s="471"/>
      <c r="U71" s="471"/>
      <c r="V71" s="382"/>
      <c r="W71" s="479"/>
      <c r="X71" s="480"/>
      <c r="Y71" s="480"/>
      <c r="Z71" s="480"/>
      <c r="AA71" s="480"/>
      <c r="AB71" s="481"/>
      <c r="AE71" s="245"/>
      <c r="AK71" s="207"/>
      <c r="AL71" s="64"/>
      <c r="AR71" s="208"/>
    </row>
    <row r="72" spans="1:44" ht="20.25" customHeight="1" x14ac:dyDescent="0.2">
      <c r="A72" s="319"/>
      <c r="B72" s="512"/>
      <c r="C72" s="513"/>
      <c r="D72" s="514"/>
      <c r="E72" s="462" t="s">
        <v>812</v>
      </c>
      <c r="F72" s="463"/>
      <c r="G72" s="463"/>
      <c r="H72" s="463"/>
      <c r="I72" s="463"/>
      <c r="J72" s="463"/>
      <c r="K72" s="463"/>
      <c r="L72" s="464"/>
      <c r="M72" s="468">
        <f t="shared" ref="M72:M78" si="3">SUM(P72:U72)</f>
        <v>0</v>
      </c>
      <c r="N72" s="469"/>
      <c r="O72" s="470"/>
      <c r="P72" s="471"/>
      <c r="Q72" s="471"/>
      <c r="R72" s="471"/>
      <c r="S72" s="471"/>
      <c r="T72" s="471"/>
      <c r="U72" s="471"/>
      <c r="V72" s="382"/>
      <c r="W72" s="479"/>
      <c r="X72" s="480"/>
      <c r="Y72" s="480"/>
      <c r="Z72" s="480"/>
      <c r="AA72" s="480"/>
      <c r="AB72" s="481"/>
      <c r="AE72" s="245"/>
      <c r="AK72" s="207"/>
      <c r="AL72" s="64"/>
      <c r="AR72" s="208"/>
    </row>
    <row r="73" spans="1:44" ht="22.9" customHeight="1" x14ac:dyDescent="0.2">
      <c r="A73" s="320"/>
      <c r="B73" s="515"/>
      <c r="C73" s="516"/>
      <c r="D73" s="517"/>
      <c r="E73" s="531" t="s">
        <v>209</v>
      </c>
      <c r="F73" s="532"/>
      <c r="G73" s="532"/>
      <c r="H73" s="532"/>
      <c r="I73" s="532"/>
      <c r="J73" s="532"/>
      <c r="K73" s="532"/>
      <c r="L73" s="533"/>
      <c r="M73" s="468">
        <f t="shared" si="3"/>
        <v>0</v>
      </c>
      <c r="N73" s="469"/>
      <c r="O73" s="470"/>
      <c r="P73" s="471"/>
      <c r="Q73" s="471"/>
      <c r="R73" s="471"/>
      <c r="S73" s="471"/>
      <c r="T73" s="471"/>
      <c r="U73" s="471"/>
      <c r="V73" s="382"/>
      <c r="W73" s="479"/>
      <c r="X73" s="480"/>
      <c r="Y73" s="480"/>
      <c r="Z73" s="480"/>
      <c r="AA73" s="480"/>
      <c r="AB73" s="481"/>
      <c r="AK73" s="207"/>
      <c r="AL73" s="64"/>
      <c r="AR73" s="208"/>
    </row>
    <row r="74" spans="1:44" ht="22.9" customHeight="1" x14ac:dyDescent="0.2">
      <c r="A74" s="319"/>
      <c r="B74" s="509" t="s">
        <v>815</v>
      </c>
      <c r="C74" s="510"/>
      <c r="D74" s="511"/>
      <c r="E74" s="531" t="s">
        <v>210</v>
      </c>
      <c r="F74" s="532"/>
      <c r="G74" s="532"/>
      <c r="H74" s="532"/>
      <c r="I74" s="532"/>
      <c r="J74" s="532"/>
      <c r="K74" s="532"/>
      <c r="L74" s="533"/>
      <c r="M74" s="468">
        <f t="shared" si="3"/>
        <v>0</v>
      </c>
      <c r="N74" s="469"/>
      <c r="O74" s="470"/>
      <c r="P74" s="471"/>
      <c r="Q74" s="471"/>
      <c r="R74" s="471"/>
      <c r="S74" s="471"/>
      <c r="T74" s="471"/>
      <c r="U74" s="471"/>
      <c r="V74" s="382"/>
      <c r="W74" s="479"/>
      <c r="X74" s="480"/>
      <c r="Y74" s="480"/>
      <c r="Z74" s="480"/>
      <c r="AA74" s="480"/>
      <c r="AB74" s="481"/>
      <c r="AK74" s="207"/>
      <c r="AL74" s="64"/>
      <c r="AR74" s="208"/>
    </row>
    <row r="75" spans="1:44" ht="22.9" customHeight="1" x14ac:dyDescent="0.2">
      <c r="A75" s="319"/>
      <c r="B75" s="512"/>
      <c r="C75" s="513"/>
      <c r="D75" s="514"/>
      <c r="E75" s="462" t="s">
        <v>816</v>
      </c>
      <c r="F75" s="463"/>
      <c r="G75" s="463"/>
      <c r="H75" s="463"/>
      <c r="I75" s="463"/>
      <c r="J75" s="463"/>
      <c r="K75" s="463"/>
      <c r="L75" s="464"/>
      <c r="M75" s="468">
        <f t="shared" si="3"/>
        <v>0</v>
      </c>
      <c r="N75" s="469"/>
      <c r="O75" s="470"/>
      <c r="P75" s="471"/>
      <c r="Q75" s="471"/>
      <c r="R75" s="471"/>
      <c r="S75" s="471"/>
      <c r="T75" s="471"/>
      <c r="U75" s="471"/>
      <c r="V75" s="382"/>
      <c r="W75" s="479"/>
      <c r="X75" s="480"/>
      <c r="Y75" s="480"/>
      <c r="Z75" s="480"/>
      <c r="AA75" s="480"/>
      <c r="AB75" s="481"/>
      <c r="AK75" s="207"/>
      <c r="AL75" s="64"/>
      <c r="AR75" s="208"/>
    </row>
    <row r="76" spans="1:44" ht="22.9" customHeight="1" x14ac:dyDescent="0.2">
      <c r="A76" s="319"/>
      <c r="B76" s="515"/>
      <c r="C76" s="516"/>
      <c r="D76" s="517"/>
      <c r="E76" s="518" t="s">
        <v>729</v>
      </c>
      <c r="F76" s="519"/>
      <c r="G76" s="519"/>
      <c r="H76" s="519"/>
      <c r="I76" s="519"/>
      <c r="J76" s="519"/>
      <c r="K76" s="519"/>
      <c r="L76" s="520"/>
      <c r="M76" s="468">
        <f t="shared" si="3"/>
        <v>0</v>
      </c>
      <c r="N76" s="469"/>
      <c r="O76" s="470"/>
      <c r="P76" s="471"/>
      <c r="Q76" s="471"/>
      <c r="R76" s="471"/>
      <c r="S76" s="471"/>
      <c r="T76" s="471"/>
      <c r="U76" s="471"/>
      <c r="V76" s="382"/>
      <c r="W76" s="479"/>
      <c r="X76" s="480"/>
      <c r="Y76" s="480"/>
      <c r="Z76" s="480"/>
      <c r="AA76" s="480"/>
      <c r="AB76" s="481"/>
      <c r="AK76" s="207"/>
      <c r="AL76" s="64"/>
      <c r="AR76" s="208"/>
    </row>
    <row r="77" spans="1:44" ht="21.75" customHeight="1" x14ac:dyDescent="0.2">
      <c r="A77" s="319"/>
      <c r="B77" s="509" t="s">
        <v>818</v>
      </c>
      <c r="C77" s="706"/>
      <c r="D77" s="707"/>
      <c r="E77" s="719" t="s">
        <v>211</v>
      </c>
      <c r="F77" s="720"/>
      <c r="G77" s="720"/>
      <c r="H77" s="720"/>
      <c r="I77" s="720"/>
      <c r="J77" s="720"/>
      <c r="K77" s="720"/>
      <c r="L77" s="721"/>
      <c r="M77" s="468">
        <f t="shared" si="3"/>
        <v>0</v>
      </c>
      <c r="N77" s="469"/>
      <c r="O77" s="470"/>
      <c r="P77" s="471"/>
      <c r="Q77" s="471"/>
      <c r="R77" s="471"/>
      <c r="S77" s="471"/>
      <c r="T77" s="471"/>
      <c r="U77" s="471"/>
      <c r="V77" s="382"/>
      <c r="W77" s="479"/>
      <c r="X77" s="480"/>
      <c r="Y77" s="480"/>
      <c r="Z77" s="480"/>
      <c r="AA77" s="480"/>
      <c r="AB77" s="481"/>
      <c r="AK77" s="207"/>
      <c r="AL77" s="64"/>
      <c r="AR77" s="208"/>
    </row>
    <row r="78" spans="1:44" ht="22.9" customHeight="1" x14ac:dyDescent="0.2">
      <c r="A78" s="319"/>
      <c r="B78" s="708"/>
      <c r="C78" s="709"/>
      <c r="D78" s="710"/>
      <c r="E78" s="726" t="s">
        <v>819</v>
      </c>
      <c r="F78" s="727"/>
      <c r="G78" s="727"/>
      <c r="H78" s="727"/>
      <c r="I78" s="727"/>
      <c r="J78" s="727"/>
      <c r="K78" s="727"/>
      <c r="L78" s="728"/>
      <c r="M78" s="468">
        <f t="shared" si="3"/>
        <v>0</v>
      </c>
      <c r="N78" s="469"/>
      <c r="O78" s="470"/>
      <c r="P78" s="471"/>
      <c r="Q78" s="471"/>
      <c r="R78" s="471"/>
      <c r="S78" s="471"/>
      <c r="T78" s="471"/>
      <c r="U78" s="471"/>
      <c r="V78" s="382"/>
      <c r="W78" s="479"/>
      <c r="X78" s="480"/>
      <c r="Y78" s="480"/>
      <c r="Z78" s="480"/>
      <c r="AA78" s="480"/>
      <c r="AB78" s="481"/>
      <c r="AE78" s="245"/>
      <c r="AK78" s="207"/>
      <c r="AL78" s="64"/>
      <c r="AR78" s="208"/>
    </row>
    <row r="79" spans="1:44" ht="15.75" customHeight="1" x14ac:dyDescent="0.2">
      <c r="A79" s="319"/>
      <c r="B79" s="711"/>
      <c r="C79" s="712"/>
      <c r="D79" s="713"/>
      <c r="E79" s="462" t="s">
        <v>817</v>
      </c>
      <c r="F79" s="463"/>
      <c r="G79" s="463"/>
      <c r="H79" s="463"/>
      <c r="I79" s="463"/>
      <c r="J79" s="463"/>
      <c r="K79" s="463"/>
      <c r="L79" s="464"/>
      <c r="M79" s="468">
        <f>SUM(P79:AA79)</f>
        <v>0</v>
      </c>
      <c r="N79" s="469"/>
      <c r="O79" s="470"/>
      <c r="P79" s="471"/>
      <c r="Q79" s="471"/>
      <c r="R79" s="471"/>
      <c r="S79" s="471"/>
      <c r="T79" s="471"/>
      <c r="U79" s="471"/>
      <c r="V79" s="382"/>
      <c r="W79" s="479"/>
      <c r="X79" s="480"/>
      <c r="Y79" s="480"/>
      <c r="Z79" s="480"/>
      <c r="AA79" s="480"/>
      <c r="AB79" s="481"/>
      <c r="AE79" s="245"/>
      <c r="AK79" s="207"/>
      <c r="AL79" s="64"/>
      <c r="AR79" s="208"/>
    </row>
    <row r="80" spans="1:44" ht="18.75" customHeight="1" x14ac:dyDescent="0.2">
      <c r="A80" s="319"/>
      <c r="B80" s="534" t="s">
        <v>931</v>
      </c>
      <c r="C80" s="535"/>
      <c r="D80" s="536"/>
      <c r="E80" s="538" t="s">
        <v>930</v>
      </c>
      <c r="F80" s="539"/>
      <c r="G80" s="539"/>
      <c r="H80" s="539"/>
      <c r="I80" s="539"/>
      <c r="J80" s="539"/>
      <c r="K80" s="539"/>
      <c r="L80" s="540"/>
      <c r="M80" s="465">
        <f t="shared" si="2"/>
        <v>0</v>
      </c>
      <c r="N80" s="466"/>
      <c r="O80" s="467"/>
      <c r="P80" s="471"/>
      <c r="Q80" s="471"/>
      <c r="R80" s="471"/>
      <c r="S80" s="471"/>
      <c r="T80" s="471"/>
      <c r="U80" s="471"/>
      <c r="V80" s="382"/>
      <c r="W80" s="482"/>
      <c r="X80" s="483"/>
      <c r="Y80" s="483"/>
      <c r="Z80" s="483"/>
      <c r="AA80" s="483"/>
      <c r="AB80" s="484"/>
      <c r="AK80" s="207"/>
      <c r="AL80" s="64"/>
      <c r="AR80" s="208"/>
    </row>
    <row r="81" spans="1:45" ht="17.25" customHeight="1" x14ac:dyDescent="0.2">
      <c r="A81" s="90"/>
      <c r="B81" s="435" t="s">
        <v>730</v>
      </c>
      <c r="C81" s="435"/>
      <c r="D81" s="435"/>
      <c r="E81" s="435"/>
      <c r="F81" s="435"/>
      <c r="G81" s="435"/>
      <c r="H81" s="435"/>
      <c r="I81" s="435"/>
      <c r="J81" s="435"/>
      <c r="K81" s="435"/>
      <c r="L81" s="435"/>
      <c r="M81" s="435"/>
      <c r="N81" s="537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7"/>
      <c r="Z81" s="537"/>
      <c r="AA81" s="537"/>
      <c r="AL81" s="207"/>
      <c r="AM81" s="64"/>
      <c r="AS81" s="208"/>
    </row>
    <row r="82" spans="1:45" ht="23.25" customHeight="1" x14ac:dyDescent="0.2">
      <c r="A82" s="90"/>
      <c r="B82" s="522" t="s">
        <v>709</v>
      </c>
      <c r="C82" s="523"/>
      <c r="D82" s="523"/>
      <c r="E82" s="523"/>
      <c r="F82" s="523"/>
      <c r="G82" s="523"/>
      <c r="H82" s="523"/>
      <c r="I82" s="523"/>
      <c r="J82" s="523"/>
      <c r="K82" s="524"/>
      <c r="L82" s="525">
        <f>SUM(kostges-M76)</f>
        <v>0</v>
      </c>
      <c r="M82" s="526"/>
      <c r="N82" s="527"/>
      <c r="O82" s="528">
        <v>1</v>
      </c>
      <c r="P82" s="529"/>
      <c r="Q82" s="529"/>
      <c r="R82" s="345"/>
      <c r="S82" s="345"/>
      <c r="T82" s="345"/>
      <c r="U82" s="506" t="s">
        <v>985</v>
      </c>
      <c r="V82" s="507"/>
      <c r="W82" s="507"/>
      <c r="X82" s="508"/>
      <c r="Y82" s="345"/>
      <c r="Z82" s="280"/>
      <c r="AA82" s="280"/>
      <c r="AC82" s="245"/>
      <c r="AL82" s="207"/>
      <c r="AM82" s="64"/>
      <c r="AS82" s="208"/>
    </row>
    <row r="83" spans="1:45" ht="14.25" customHeight="1" x14ac:dyDescent="0.2">
      <c r="A83" s="90"/>
      <c r="B83" s="521" t="s">
        <v>708</v>
      </c>
      <c r="C83" s="521"/>
      <c r="D83" s="521"/>
      <c r="E83" s="521"/>
      <c r="F83" s="521"/>
      <c r="G83" s="521"/>
      <c r="H83" s="521"/>
      <c r="I83" s="521"/>
      <c r="J83" s="521"/>
      <c r="K83" s="521"/>
      <c r="L83" s="699">
        <f>SUM(kostges-esfges-entgeltTNges)</f>
        <v>0</v>
      </c>
      <c r="M83" s="699"/>
      <c r="N83" s="699"/>
      <c r="O83" s="528" t="str">
        <f>IF(L82=0,"",SUM(aktivkofi)/L82)</f>
        <v/>
      </c>
      <c r="P83" s="529"/>
      <c r="Q83" s="529"/>
      <c r="R83" s="251"/>
      <c r="S83" s="251"/>
      <c r="T83" s="251"/>
      <c r="U83" s="542" t="s">
        <v>931</v>
      </c>
      <c r="V83" s="543"/>
      <c r="W83" s="700" t="str">
        <f>IF(kostges-TNgebges-spendenges-einnahmenges=0,"",SUM(esfges/(kostges-TNgebges-spendenges-einnahmenges)))</f>
        <v/>
      </c>
      <c r="X83" s="701"/>
      <c r="Y83" s="251"/>
      <c r="Z83" s="280"/>
      <c r="AA83" s="280"/>
      <c r="AB83" s="246"/>
      <c r="AL83" s="207"/>
      <c r="AM83" s="64"/>
      <c r="AS83" s="208"/>
    </row>
    <row r="84" spans="1:45" ht="11.25" customHeight="1" x14ac:dyDescent="0.2">
      <c r="A84" s="90"/>
      <c r="B84" s="281">
        <f>SUM(M76:O80)</f>
        <v>0</v>
      </c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544"/>
      <c r="V84" s="544"/>
      <c r="W84" s="702"/>
      <c r="X84" s="702"/>
      <c r="Y84" s="281"/>
      <c r="Z84" s="281"/>
      <c r="AA84" s="281"/>
      <c r="AB84" s="246"/>
      <c r="AL84" s="207"/>
      <c r="AM84" s="64"/>
      <c r="AS84" s="208"/>
    </row>
    <row r="85" spans="1:45" ht="11.25" customHeight="1" x14ac:dyDescent="0.2">
      <c r="A85" s="437" t="s">
        <v>978</v>
      </c>
      <c r="B85" s="438"/>
      <c r="C85" s="438"/>
      <c r="D85" s="438"/>
      <c r="E85" s="438"/>
      <c r="F85" s="438"/>
      <c r="G85" s="438"/>
      <c r="H85" s="438"/>
      <c r="I85" s="438"/>
      <c r="J85" s="438"/>
      <c r="K85" s="438"/>
      <c r="L85" s="438"/>
      <c r="M85" s="438"/>
      <c r="N85" s="438"/>
      <c r="O85" s="438"/>
      <c r="P85" s="438"/>
      <c r="Q85" s="438"/>
      <c r="R85" s="438"/>
      <c r="S85" s="438"/>
      <c r="T85" s="438"/>
      <c r="U85" s="438"/>
      <c r="V85" s="438"/>
      <c r="W85" s="438"/>
      <c r="X85" s="438"/>
      <c r="Y85" s="438"/>
      <c r="Z85" s="438"/>
      <c r="AA85" s="439"/>
      <c r="AB85" s="439"/>
      <c r="AL85" s="207"/>
      <c r="AM85" s="64"/>
      <c r="AS85" s="208"/>
    </row>
    <row r="86" spans="1:45" ht="63" customHeight="1" x14ac:dyDescent="0.2">
      <c r="A86" s="440"/>
      <c r="B86" s="440"/>
      <c r="C86" s="440"/>
      <c r="D86" s="440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440"/>
      <c r="P86" s="440"/>
      <c r="Q86" s="440"/>
      <c r="R86" s="440"/>
      <c r="S86" s="440"/>
      <c r="T86" s="440"/>
      <c r="U86" s="440"/>
      <c r="V86" s="440"/>
      <c r="W86" s="440"/>
      <c r="X86" s="440"/>
      <c r="Y86" s="440"/>
      <c r="Z86" s="440"/>
      <c r="AA86" s="441"/>
      <c r="AB86" s="442"/>
      <c r="AL86" s="207"/>
      <c r="AM86" s="64"/>
      <c r="AS86" s="208"/>
    </row>
    <row r="87" spans="1:45" ht="11.25" customHeight="1" x14ac:dyDescent="0.2">
      <c r="A87" s="445" t="s">
        <v>979</v>
      </c>
      <c r="B87" s="446"/>
      <c r="C87" s="446"/>
      <c r="D87" s="446"/>
      <c r="E87" s="446"/>
      <c r="F87" s="446"/>
      <c r="G87" s="447"/>
      <c r="H87" s="445" t="s">
        <v>980</v>
      </c>
      <c r="I87" s="446"/>
      <c r="J87" s="446"/>
      <c r="K87" s="446"/>
      <c r="L87" s="447"/>
      <c r="M87" s="443" t="s">
        <v>549</v>
      </c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43"/>
      <c r="Y87" s="443"/>
      <c r="Z87" s="443"/>
      <c r="AA87" s="439"/>
      <c r="AB87" s="439"/>
      <c r="AL87" s="207"/>
      <c r="AM87" s="64"/>
      <c r="AS87" s="208"/>
    </row>
    <row r="88" spans="1:45" ht="11.25" customHeight="1" x14ac:dyDescent="0.2">
      <c r="A88" s="448"/>
      <c r="B88" s="449"/>
      <c r="C88" s="449"/>
      <c r="D88" s="449"/>
      <c r="E88" s="449"/>
      <c r="F88" s="449"/>
      <c r="G88" s="450"/>
      <c r="H88" s="448"/>
      <c r="I88" s="449"/>
      <c r="J88" s="449"/>
      <c r="K88" s="449"/>
      <c r="L88" s="450"/>
      <c r="M88" s="442"/>
      <c r="N88" s="442"/>
      <c r="O88" s="442"/>
      <c r="P88" s="442"/>
      <c r="Q88" s="442"/>
      <c r="R88" s="442"/>
      <c r="S88" s="442"/>
      <c r="T88" s="442"/>
      <c r="U88" s="442"/>
      <c r="V88" s="442"/>
      <c r="W88" s="442"/>
      <c r="X88" s="442"/>
      <c r="Y88" s="442"/>
      <c r="Z88" s="442"/>
      <c r="AA88" s="444"/>
      <c r="AB88" s="444"/>
      <c r="AL88" s="207"/>
      <c r="AM88" s="64"/>
      <c r="AS88" s="208"/>
    </row>
    <row r="89" spans="1:45" ht="11.25" customHeight="1" x14ac:dyDescent="0.2">
      <c r="A89" s="448"/>
      <c r="B89" s="449"/>
      <c r="C89" s="449"/>
      <c r="D89" s="449"/>
      <c r="E89" s="449"/>
      <c r="F89" s="449"/>
      <c r="G89" s="450"/>
      <c r="H89" s="448"/>
      <c r="I89" s="449"/>
      <c r="J89" s="449"/>
      <c r="K89" s="449"/>
      <c r="L89" s="450"/>
      <c r="M89" s="442"/>
      <c r="N89" s="442"/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4"/>
      <c r="AB89" s="444"/>
      <c r="AL89" s="207"/>
      <c r="AM89" s="64"/>
      <c r="AS89" s="208"/>
    </row>
    <row r="90" spans="1:45" ht="11.25" customHeight="1" x14ac:dyDescent="0.2">
      <c r="A90" s="448"/>
      <c r="B90" s="449"/>
      <c r="C90" s="449"/>
      <c r="D90" s="449"/>
      <c r="E90" s="449"/>
      <c r="F90" s="449"/>
      <c r="G90" s="450"/>
      <c r="H90" s="448"/>
      <c r="I90" s="449"/>
      <c r="J90" s="449"/>
      <c r="K90" s="449"/>
      <c r="L90" s="450"/>
      <c r="M90" s="442"/>
      <c r="N90" s="442"/>
      <c r="O90" s="442"/>
      <c r="P90" s="442"/>
      <c r="Q90" s="442"/>
      <c r="R90" s="442"/>
      <c r="S90" s="442"/>
      <c r="T90" s="442"/>
      <c r="U90" s="442"/>
      <c r="V90" s="442"/>
      <c r="W90" s="442"/>
      <c r="X90" s="442"/>
      <c r="Y90" s="442"/>
      <c r="Z90" s="442"/>
      <c r="AA90" s="444"/>
      <c r="AB90" s="444"/>
      <c r="AL90" s="207"/>
      <c r="AM90" s="64"/>
      <c r="AS90" s="208"/>
    </row>
    <row r="91" spans="1:45" ht="11.25" customHeight="1" x14ac:dyDescent="0.2">
      <c r="A91" s="448"/>
      <c r="B91" s="449"/>
      <c r="C91" s="449"/>
      <c r="D91" s="449"/>
      <c r="E91" s="449"/>
      <c r="F91" s="449"/>
      <c r="G91" s="450"/>
      <c r="H91" s="448"/>
      <c r="I91" s="449"/>
      <c r="J91" s="449"/>
      <c r="K91" s="449"/>
      <c r="L91" s="450"/>
      <c r="M91" s="442"/>
      <c r="N91" s="442"/>
      <c r="O91" s="442"/>
      <c r="P91" s="442"/>
      <c r="Q91" s="442"/>
      <c r="R91" s="442"/>
      <c r="S91" s="442"/>
      <c r="T91" s="442"/>
      <c r="U91" s="442"/>
      <c r="V91" s="442"/>
      <c r="W91" s="442"/>
      <c r="X91" s="442"/>
      <c r="Y91" s="442"/>
      <c r="Z91" s="442"/>
      <c r="AA91" s="444"/>
      <c r="AB91" s="444"/>
      <c r="AL91" s="207"/>
      <c r="AM91" s="64"/>
      <c r="AS91" s="208"/>
    </row>
    <row r="92" spans="1:45" ht="11.25" customHeight="1" x14ac:dyDescent="0.2">
      <c r="A92" s="448"/>
      <c r="B92" s="449"/>
      <c r="C92" s="449"/>
      <c r="D92" s="449"/>
      <c r="E92" s="449"/>
      <c r="F92" s="449"/>
      <c r="G92" s="450"/>
      <c r="H92" s="448"/>
      <c r="I92" s="449"/>
      <c r="J92" s="449"/>
      <c r="K92" s="449"/>
      <c r="L92" s="450"/>
      <c r="M92" s="442"/>
      <c r="N92" s="442"/>
      <c r="O92" s="442"/>
      <c r="P92" s="442"/>
      <c r="Q92" s="442"/>
      <c r="R92" s="442"/>
      <c r="S92" s="442"/>
      <c r="T92" s="442"/>
      <c r="U92" s="442"/>
      <c r="V92" s="442"/>
      <c r="W92" s="442"/>
      <c r="X92" s="442"/>
      <c r="Y92" s="442"/>
      <c r="Z92" s="442"/>
      <c r="AA92" s="444"/>
      <c r="AB92" s="444"/>
      <c r="AL92" s="207"/>
      <c r="AM92" s="64"/>
      <c r="AS92" s="208"/>
    </row>
    <row r="93" spans="1:45" ht="6.6" customHeight="1" x14ac:dyDescent="0.2">
      <c r="A93" s="90"/>
      <c r="B93" s="545"/>
      <c r="C93" s="545"/>
      <c r="D93" s="545"/>
      <c r="E93" s="545"/>
      <c r="F93" s="545"/>
      <c r="G93" s="545"/>
      <c r="H93" s="545"/>
      <c r="I93" s="545"/>
      <c r="J93" s="545"/>
      <c r="AD93" s="401"/>
      <c r="AL93" s="207"/>
      <c r="AM93" s="64"/>
      <c r="AS93" s="208"/>
    </row>
    <row r="94" spans="1:45" ht="12.75" customHeight="1" x14ac:dyDescent="0.2">
      <c r="A94" s="396"/>
      <c r="B94" s="396" t="s">
        <v>382</v>
      </c>
      <c r="AL94" s="207"/>
      <c r="AM94" s="64"/>
      <c r="AS94" s="208"/>
    </row>
    <row r="95" spans="1:45" ht="12.75" customHeight="1" x14ac:dyDescent="0.2">
      <c r="A95" s="90"/>
      <c r="B95" s="65" t="s">
        <v>145</v>
      </c>
      <c r="K95" s="184" t="s">
        <v>384</v>
      </c>
      <c r="Z95" s="541"/>
      <c r="AA95" s="541"/>
      <c r="AL95" s="207"/>
      <c r="AM95" s="64"/>
      <c r="AS95" s="208"/>
    </row>
    <row r="96" spans="1:45" ht="12.75" customHeight="1" x14ac:dyDescent="0.2">
      <c r="A96" s="90"/>
      <c r="B96" s="65" t="s">
        <v>383</v>
      </c>
      <c r="C96" s="209"/>
      <c r="D96" s="209"/>
      <c r="I96" s="166"/>
      <c r="Z96" s="541"/>
      <c r="AA96" s="541"/>
      <c r="AL96" s="207"/>
      <c r="AM96" s="64"/>
      <c r="AS96" s="208"/>
    </row>
    <row r="97" spans="1:39" ht="12.75" customHeight="1" x14ac:dyDescent="0.2">
      <c r="A97" s="90"/>
      <c r="B97" s="65"/>
      <c r="C97" s="209"/>
      <c r="D97" s="209"/>
      <c r="F97" s="175"/>
      <c r="H97" s="546" t="s">
        <v>212</v>
      </c>
      <c r="I97" s="546"/>
      <c r="J97" s="546"/>
      <c r="K97" s="546"/>
      <c r="L97" s="546"/>
      <c r="M97" s="546"/>
      <c r="N97" s="546"/>
      <c r="O97" s="546"/>
      <c r="Q97" s="175" t="s">
        <v>870</v>
      </c>
      <c r="Y97" s="435" t="s">
        <v>864</v>
      </c>
      <c r="Z97" s="435"/>
      <c r="AA97" s="435"/>
      <c r="AB97" s="436"/>
      <c r="AL97" s="207"/>
      <c r="AM97" s="64"/>
    </row>
    <row r="98" spans="1:39" ht="15" customHeight="1" x14ac:dyDescent="0.2">
      <c r="B98" s="530" t="str">
        <f>IF(BAges&gt;0,"Bundesagentur für Arbeit"," ")</f>
        <v xml:space="preserve"> </v>
      </c>
      <c r="C98" s="530"/>
      <c r="D98" s="530"/>
      <c r="E98" s="530"/>
      <c r="F98" s="530"/>
      <c r="G98" s="530"/>
      <c r="H98" s="503"/>
      <c r="I98" s="503"/>
      <c r="J98" s="503"/>
      <c r="K98" s="503"/>
      <c r="L98" s="503"/>
      <c r="M98" s="503"/>
      <c r="N98" s="503"/>
      <c r="O98" s="503"/>
      <c r="P98" s="346"/>
      <c r="Q98" s="503"/>
      <c r="R98" s="503"/>
      <c r="S98" s="503"/>
      <c r="T98" s="503"/>
      <c r="U98" s="503"/>
      <c r="V98" s="503"/>
      <c r="W98" s="503"/>
      <c r="X98" s="346"/>
      <c r="Y98" s="504"/>
      <c r="Z98" s="504"/>
      <c r="AA98" s="504"/>
      <c r="AB98" s="504"/>
      <c r="AD98" s="245"/>
    </row>
    <row r="99" spans="1:39" x14ac:dyDescent="0.2">
      <c r="B99" s="530" t="str">
        <f>IF(mastdges&gt;0,"MASTD"," ")</f>
        <v xml:space="preserve"> </v>
      </c>
      <c r="C99" s="530"/>
      <c r="D99" s="530"/>
      <c r="E99" s="530"/>
      <c r="F99" s="530"/>
      <c r="G99" s="530"/>
      <c r="H99" s="503"/>
      <c r="I99" s="503"/>
      <c r="J99" s="503"/>
      <c r="K99" s="503"/>
      <c r="L99" s="503"/>
      <c r="M99" s="503"/>
      <c r="N99" s="503"/>
      <c r="O99" s="503"/>
      <c r="P99" s="346"/>
      <c r="Q99" s="503"/>
      <c r="R99" s="503"/>
      <c r="S99" s="503"/>
      <c r="T99" s="503"/>
      <c r="U99" s="503"/>
      <c r="V99" s="503"/>
      <c r="W99" s="503"/>
      <c r="X99" s="346"/>
      <c r="Y99" s="504"/>
      <c r="Z99" s="504"/>
      <c r="AA99" s="504"/>
      <c r="AB99" s="504"/>
    </row>
    <row r="100" spans="1:39" x14ac:dyDescent="0.2">
      <c r="B100" s="530" t="str">
        <f>IF(mbges&gt;0,"Mittel BM"," ")</f>
        <v xml:space="preserve"> </v>
      </c>
      <c r="C100" s="530"/>
      <c r="D100" s="530"/>
      <c r="E100" s="530"/>
      <c r="F100" s="530"/>
      <c r="G100" s="530"/>
      <c r="H100" s="503"/>
      <c r="I100" s="503"/>
      <c r="J100" s="503"/>
      <c r="K100" s="503"/>
      <c r="L100" s="503"/>
      <c r="M100" s="503"/>
      <c r="N100" s="503"/>
      <c r="O100" s="503"/>
      <c r="P100" s="346"/>
      <c r="Q100" s="503"/>
      <c r="R100" s="503"/>
      <c r="S100" s="503"/>
      <c r="T100" s="503"/>
      <c r="U100" s="503"/>
      <c r="V100" s="503"/>
      <c r="W100" s="503"/>
      <c r="X100" s="346"/>
      <c r="Y100" s="504"/>
      <c r="Z100" s="504"/>
      <c r="AA100" s="504"/>
      <c r="AB100" s="504"/>
    </row>
    <row r="101" spans="1:39" x14ac:dyDescent="0.2">
      <c r="B101" s="530" t="str">
        <f>IF(mffkiges&gt;0,"Mittel MFFKI"," ")</f>
        <v xml:space="preserve"> </v>
      </c>
      <c r="C101" s="530"/>
      <c r="D101" s="530"/>
      <c r="E101" s="530"/>
      <c r="F101" s="530"/>
      <c r="G101" s="530"/>
      <c r="H101" s="503"/>
      <c r="I101" s="503"/>
      <c r="J101" s="503"/>
      <c r="K101" s="503"/>
      <c r="L101" s="503"/>
      <c r="M101" s="503"/>
      <c r="N101" s="503"/>
      <c r="O101" s="503"/>
      <c r="P101" s="346"/>
      <c r="Q101" s="503"/>
      <c r="R101" s="503"/>
      <c r="S101" s="503"/>
      <c r="T101" s="503"/>
      <c r="U101" s="503"/>
      <c r="V101" s="503"/>
      <c r="W101" s="503"/>
      <c r="X101" s="346"/>
      <c r="Y101" s="504"/>
      <c r="Z101" s="504"/>
      <c r="AA101" s="504"/>
      <c r="AB101" s="505"/>
    </row>
    <row r="102" spans="1:39" x14ac:dyDescent="0.2">
      <c r="A102" s="159"/>
      <c r="B102" s="530" t="str">
        <f>IF(mwgges&gt;0,"Mittel MWG"," ")</f>
        <v xml:space="preserve"> </v>
      </c>
      <c r="C102" s="530"/>
      <c r="D102" s="530"/>
      <c r="E102" s="530"/>
      <c r="F102" s="530"/>
      <c r="G102" s="530"/>
      <c r="H102" s="503"/>
      <c r="I102" s="503"/>
      <c r="J102" s="503"/>
      <c r="K102" s="503"/>
      <c r="L102" s="503"/>
      <c r="M102" s="503"/>
      <c r="N102" s="503"/>
      <c r="O102" s="503"/>
      <c r="P102" s="346"/>
      <c r="Q102" s="503"/>
      <c r="R102" s="503"/>
      <c r="S102" s="503"/>
      <c r="T102" s="503"/>
      <c r="U102" s="503"/>
      <c r="V102" s="503"/>
      <c r="W102" s="503"/>
      <c r="X102" s="346"/>
      <c r="Y102" s="504"/>
      <c r="Z102" s="504"/>
      <c r="AA102" s="504"/>
      <c r="AB102" s="505"/>
    </row>
    <row r="103" spans="1:39" x14ac:dyDescent="0.2">
      <c r="A103" s="159"/>
      <c r="B103" s="547" t="str">
        <f>IF(justizges&gt;0,"Mittel JM"," ")</f>
        <v xml:space="preserve"> </v>
      </c>
      <c r="C103" s="547"/>
      <c r="D103" s="547"/>
      <c r="E103" s="547"/>
      <c r="F103" s="547"/>
      <c r="G103" s="547"/>
      <c r="H103" s="503"/>
      <c r="I103" s="503"/>
      <c r="J103" s="503"/>
      <c r="K103" s="503"/>
      <c r="L103" s="503"/>
      <c r="M103" s="503"/>
      <c r="N103" s="503"/>
      <c r="O103" s="503"/>
      <c r="P103" s="346"/>
      <c r="Q103" s="503"/>
      <c r="R103" s="503"/>
      <c r="S103" s="503"/>
      <c r="T103" s="503"/>
      <c r="U103" s="503"/>
      <c r="V103" s="503"/>
      <c r="W103" s="503"/>
      <c r="X103" s="346"/>
      <c r="Y103" s="504"/>
      <c r="Z103" s="504"/>
      <c r="AA103" s="504"/>
      <c r="AB103" s="505"/>
    </row>
    <row r="104" spans="1:39" x14ac:dyDescent="0.2">
      <c r="A104" s="159"/>
      <c r="B104" s="547" t="str">
        <f>IF(mwvlwges&gt;0,"Mittel MWVLW"," ")</f>
        <v xml:space="preserve"> </v>
      </c>
      <c r="C104" s="547"/>
      <c r="D104" s="547"/>
      <c r="E104" s="547"/>
      <c r="F104" s="547"/>
      <c r="G104" s="547"/>
      <c r="H104" s="503"/>
      <c r="I104" s="503"/>
      <c r="J104" s="503"/>
      <c r="K104" s="503"/>
      <c r="L104" s="503"/>
      <c r="M104" s="503"/>
      <c r="N104" s="503"/>
      <c r="O104" s="503"/>
      <c r="P104" s="346"/>
      <c r="Q104" s="503"/>
      <c r="R104" s="503"/>
      <c r="S104" s="503"/>
      <c r="T104" s="503"/>
      <c r="U104" s="503"/>
      <c r="V104" s="503"/>
      <c r="W104" s="503"/>
      <c r="X104" s="346"/>
      <c r="Y104" s="504"/>
      <c r="Z104" s="504"/>
      <c r="AA104" s="504"/>
      <c r="AB104" s="505"/>
    </row>
    <row r="105" spans="1:39" x14ac:dyDescent="0.2">
      <c r="A105" s="159"/>
      <c r="B105" s="547" t="str">
        <f>IF(mkuemges&gt;0,"Mittel MKUEM"," ")</f>
        <v xml:space="preserve"> </v>
      </c>
      <c r="C105" s="547"/>
      <c r="D105" s="547"/>
      <c r="E105" s="547"/>
      <c r="F105" s="547"/>
      <c r="G105" s="547"/>
      <c r="H105" s="503"/>
      <c r="I105" s="503"/>
      <c r="J105" s="503"/>
      <c r="K105" s="503"/>
      <c r="L105" s="503"/>
      <c r="M105" s="503"/>
      <c r="N105" s="503"/>
      <c r="O105" s="503"/>
      <c r="P105" s="346"/>
      <c r="Q105" s="503"/>
      <c r="R105" s="503"/>
      <c r="S105" s="503"/>
      <c r="T105" s="503"/>
      <c r="U105" s="503"/>
      <c r="V105" s="503"/>
      <c r="W105" s="503"/>
      <c r="X105" s="346"/>
      <c r="Y105" s="504"/>
      <c r="Z105" s="504"/>
      <c r="AA105" s="504"/>
      <c r="AB105" s="505"/>
    </row>
    <row r="106" spans="1:39" x14ac:dyDescent="0.2">
      <c r="A106" s="159"/>
      <c r="B106" s="547" t="str">
        <f>IF(andlandges&gt;0,"weitere Landesmittel"," ")</f>
        <v xml:space="preserve"> </v>
      </c>
      <c r="C106" s="547"/>
      <c r="D106" s="547"/>
      <c r="E106" s="547"/>
      <c r="F106" s="547"/>
      <c r="G106" s="547"/>
      <c r="H106" s="503"/>
      <c r="I106" s="503"/>
      <c r="J106" s="503"/>
      <c r="K106" s="503"/>
      <c r="L106" s="503"/>
      <c r="M106" s="503"/>
      <c r="N106" s="503"/>
      <c r="O106" s="503"/>
      <c r="P106" s="346"/>
      <c r="Q106" s="503"/>
      <c r="R106" s="503"/>
      <c r="S106" s="503"/>
      <c r="T106" s="503"/>
      <c r="U106" s="503"/>
      <c r="V106" s="503"/>
      <c r="W106" s="503"/>
      <c r="X106" s="346"/>
      <c r="Y106" s="504"/>
      <c r="Z106" s="504"/>
      <c r="AA106" s="504"/>
      <c r="AB106" s="504"/>
    </row>
    <row r="107" spans="1:39" x14ac:dyDescent="0.2">
      <c r="A107" s="159"/>
      <c r="B107" s="547" t="str">
        <f>IF(komges&gt;0,"Kommunale Mittel"," ")</f>
        <v xml:space="preserve"> </v>
      </c>
      <c r="C107" s="547"/>
      <c r="D107" s="547"/>
      <c r="E107" s="547"/>
      <c r="F107" s="547"/>
      <c r="G107" s="547"/>
      <c r="H107" s="503"/>
      <c r="I107" s="503"/>
      <c r="J107" s="503"/>
      <c r="K107" s="503"/>
      <c r="L107" s="503"/>
      <c r="M107" s="503"/>
      <c r="N107" s="503"/>
      <c r="O107" s="503"/>
      <c r="P107" s="346"/>
      <c r="Q107" s="503"/>
      <c r="R107" s="503"/>
      <c r="S107" s="503"/>
      <c r="T107" s="503"/>
      <c r="U107" s="503"/>
      <c r="V107" s="503"/>
      <c r="W107" s="503"/>
      <c r="X107" s="346"/>
      <c r="Y107" s="504"/>
      <c r="Z107" s="504"/>
      <c r="AA107" s="504"/>
      <c r="AB107" s="504"/>
    </row>
    <row r="108" spans="1:39" x14ac:dyDescent="0.2">
      <c r="A108" s="159"/>
      <c r="B108" s="547" t="str">
        <f>IF(SgbIIges&gt;0,"Mittel Jobcenter"," ")</f>
        <v xml:space="preserve"> </v>
      </c>
      <c r="C108" s="547"/>
      <c r="D108" s="547"/>
      <c r="E108" s="547"/>
      <c r="F108" s="547"/>
      <c r="G108" s="547"/>
      <c r="H108" s="503"/>
      <c r="I108" s="503"/>
      <c r="J108" s="503"/>
      <c r="K108" s="503"/>
      <c r="L108" s="503"/>
      <c r="M108" s="503"/>
      <c r="N108" s="503"/>
      <c r="O108" s="503"/>
      <c r="P108" s="346"/>
      <c r="Q108" s="503"/>
      <c r="R108" s="503"/>
      <c r="S108" s="503"/>
      <c r="T108" s="503"/>
      <c r="U108" s="503"/>
      <c r="V108" s="503"/>
      <c r="W108" s="503"/>
      <c r="X108" s="346"/>
      <c r="Y108" s="504"/>
      <c r="Z108" s="504"/>
      <c r="AA108" s="504"/>
      <c r="AB108" s="504"/>
    </row>
    <row r="109" spans="1:39" ht="15" customHeight="1" x14ac:dyDescent="0.2">
      <c r="A109" s="159"/>
      <c r="B109" s="547" t="str">
        <f>IF(sstgoefges&gt;0,"sstg. öffentl. Mittel"," ")</f>
        <v xml:space="preserve"> </v>
      </c>
      <c r="C109" s="547"/>
      <c r="D109" s="547"/>
      <c r="E109" s="547"/>
      <c r="F109" s="547"/>
      <c r="G109" s="547"/>
      <c r="H109" s="503"/>
      <c r="I109" s="503"/>
      <c r="J109" s="503"/>
      <c r="K109" s="503"/>
      <c r="L109" s="503"/>
      <c r="M109" s="503"/>
      <c r="N109" s="503"/>
      <c r="O109" s="503"/>
      <c r="P109" s="346"/>
      <c r="Q109" s="503"/>
      <c r="R109" s="503"/>
      <c r="S109" s="503"/>
      <c r="T109" s="503"/>
      <c r="U109" s="503"/>
      <c r="V109" s="503"/>
      <c r="W109" s="503"/>
      <c r="X109" s="346"/>
      <c r="Y109" s="504"/>
      <c r="Z109" s="504"/>
      <c r="AA109" s="504"/>
      <c r="AB109" s="504"/>
    </row>
    <row r="110" spans="1:39" ht="13.9" customHeight="1" x14ac:dyDescent="0.2">
      <c r="A110" s="159"/>
      <c r="B110" s="547" t="str">
        <f>IF(ZuschussAGges&gt;0,"Zuschuss Unternehmen"," ")</f>
        <v xml:space="preserve"> </v>
      </c>
      <c r="C110" s="547"/>
      <c r="D110" s="547"/>
      <c r="E110" s="547"/>
      <c r="F110" s="547"/>
      <c r="G110" s="547"/>
      <c r="H110" s="503"/>
      <c r="I110" s="503"/>
      <c r="J110" s="503"/>
      <c r="K110" s="503"/>
      <c r="L110" s="503"/>
      <c r="M110" s="503"/>
      <c r="N110" s="503"/>
      <c r="O110" s="503"/>
      <c r="P110" s="346"/>
      <c r="Q110" s="503"/>
      <c r="R110" s="503"/>
      <c r="S110" s="503"/>
      <c r="T110" s="503"/>
      <c r="U110" s="503"/>
      <c r="V110" s="503"/>
      <c r="W110" s="503"/>
      <c r="X110" s="346"/>
      <c r="Y110" s="504"/>
      <c r="Z110" s="504"/>
      <c r="AA110" s="504"/>
      <c r="AB110" s="504"/>
    </row>
    <row r="111" spans="1:39" ht="16.5" customHeight="1" x14ac:dyDescent="0.2">
      <c r="A111" s="159"/>
      <c r="B111" s="547" t="str">
        <f>IF(spendenges&gt;0,"Spenden"," ")</f>
        <v xml:space="preserve"> </v>
      </c>
      <c r="C111" s="547"/>
      <c r="D111" s="547"/>
      <c r="E111" s="547"/>
      <c r="F111" s="547"/>
      <c r="G111" s="547"/>
      <c r="H111" s="503"/>
      <c r="I111" s="503"/>
      <c r="J111" s="503"/>
      <c r="K111" s="503"/>
      <c r="L111" s="503"/>
      <c r="M111" s="503"/>
      <c r="N111" s="503"/>
      <c r="O111" s="503"/>
      <c r="P111" s="346"/>
      <c r="Q111" s="503"/>
      <c r="R111" s="503"/>
      <c r="S111" s="503"/>
      <c r="T111" s="503"/>
      <c r="U111" s="503"/>
      <c r="V111" s="503"/>
      <c r="W111" s="503"/>
      <c r="X111" s="346"/>
      <c r="Y111" s="504"/>
      <c r="Z111" s="504"/>
      <c r="AA111" s="504"/>
      <c r="AB111" s="504"/>
    </row>
    <row r="112" spans="1:39" ht="7.5" customHeight="1" thickBot="1" x14ac:dyDescent="0.25">
      <c r="A112" s="159"/>
      <c r="B112" s="370"/>
      <c r="C112" s="370"/>
      <c r="D112" s="370"/>
      <c r="E112" s="370"/>
      <c r="F112" s="370"/>
      <c r="G112" s="370"/>
      <c r="H112" s="371"/>
      <c r="I112" s="371"/>
      <c r="J112" s="371"/>
      <c r="K112" s="371"/>
      <c r="L112" s="371"/>
      <c r="M112" s="371"/>
      <c r="N112" s="371"/>
      <c r="O112" s="371"/>
      <c r="P112" s="372"/>
      <c r="Q112" s="371"/>
      <c r="R112" s="371"/>
      <c r="S112" s="371"/>
      <c r="T112" s="371"/>
      <c r="U112" s="371"/>
      <c r="V112" s="371"/>
      <c r="W112" s="371"/>
      <c r="X112" s="372"/>
      <c r="Y112" s="373"/>
      <c r="Z112" s="373"/>
      <c r="AA112" s="373"/>
      <c r="AB112" s="373"/>
    </row>
    <row r="113" spans="1:44" ht="6.75" customHeight="1" x14ac:dyDescent="0.2">
      <c r="A113" s="159"/>
      <c r="B113" s="397"/>
      <c r="C113" s="397"/>
      <c r="D113" s="397"/>
      <c r="E113" s="397"/>
      <c r="F113" s="397"/>
      <c r="G113" s="397"/>
      <c r="H113" s="392"/>
      <c r="I113" s="392"/>
      <c r="J113" s="392"/>
      <c r="K113" s="392"/>
      <c r="L113" s="392"/>
      <c r="M113" s="392"/>
      <c r="N113" s="392"/>
      <c r="O113" s="392"/>
      <c r="P113" s="346"/>
      <c r="Q113" s="392"/>
      <c r="R113" s="392"/>
      <c r="S113" s="392"/>
      <c r="T113" s="392"/>
      <c r="U113" s="392"/>
      <c r="V113" s="392"/>
      <c r="W113" s="392"/>
      <c r="X113" s="346"/>
      <c r="Y113" s="393"/>
      <c r="Z113" s="393"/>
      <c r="AA113" s="393"/>
      <c r="AB113" s="393"/>
    </row>
    <row r="114" spans="1:44" ht="19.5" customHeight="1" x14ac:dyDescent="0.2">
      <c r="A114" s="321" t="s">
        <v>230</v>
      </c>
      <c r="B114" s="211" t="s">
        <v>231</v>
      </c>
      <c r="C114" s="211"/>
      <c r="D114" s="211"/>
      <c r="E114" s="211"/>
      <c r="F114" s="305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7"/>
      <c r="AC114" s="307"/>
      <c r="AM114" s="219"/>
    </row>
    <row r="115" spans="1:44" ht="12.75" customHeight="1" x14ac:dyDescent="0.25">
      <c r="A115" s="315">
        <v>1</v>
      </c>
      <c r="B115" s="172" t="s">
        <v>867</v>
      </c>
      <c r="C115" s="182"/>
      <c r="D115" s="182"/>
      <c r="E115" s="182"/>
      <c r="F115" s="182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M115" s="219"/>
    </row>
    <row r="116" spans="1:44" ht="6" customHeight="1" x14ac:dyDescent="0.25">
      <c r="A116" s="315"/>
      <c r="B116" s="172"/>
      <c r="C116" s="182"/>
      <c r="D116" s="182"/>
      <c r="E116" s="182"/>
      <c r="F116" s="182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M116" s="219"/>
    </row>
    <row r="117" spans="1:44" ht="147" customHeight="1" x14ac:dyDescent="0.25">
      <c r="A117" s="315"/>
      <c r="B117" s="494"/>
      <c r="C117" s="573"/>
      <c r="D117" s="573"/>
      <c r="E117" s="573"/>
      <c r="F117" s="573"/>
      <c r="G117" s="573"/>
      <c r="H117" s="573"/>
      <c r="I117" s="573"/>
      <c r="J117" s="573"/>
      <c r="K117" s="573"/>
      <c r="L117" s="573"/>
      <c r="M117" s="573"/>
      <c r="N117" s="573"/>
      <c r="O117" s="573"/>
      <c r="P117" s="573"/>
      <c r="Q117" s="573"/>
      <c r="R117" s="573"/>
      <c r="S117" s="573"/>
      <c r="T117" s="573"/>
      <c r="U117" s="573"/>
      <c r="V117" s="573"/>
      <c r="W117" s="573"/>
      <c r="X117" s="573"/>
      <c r="Y117" s="573"/>
      <c r="Z117" s="573"/>
      <c r="AA117" s="573"/>
      <c r="AB117" s="574"/>
      <c r="AM117" s="219"/>
    </row>
    <row r="118" spans="1:44" ht="223.5" customHeight="1" x14ac:dyDescent="0.2">
      <c r="A118" s="176"/>
      <c r="B118" s="491"/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2"/>
      <c r="Q118" s="492"/>
      <c r="R118" s="492"/>
      <c r="S118" s="492"/>
      <c r="T118" s="492"/>
      <c r="U118" s="492"/>
      <c r="V118" s="492"/>
      <c r="W118" s="492"/>
      <c r="X118" s="492"/>
      <c r="Y118" s="492"/>
      <c r="Z118" s="492"/>
      <c r="AA118" s="492"/>
      <c r="AB118" s="493"/>
      <c r="AM118" s="219"/>
    </row>
    <row r="119" spans="1:44" ht="12.75" customHeight="1" x14ac:dyDescent="0.2">
      <c r="A119" s="322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M119" s="219"/>
      <c r="AR119" s="396"/>
    </row>
    <row r="120" spans="1:44" ht="12.75" customHeight="1" x14ac:dyDescent="0.25">
      <c r="A120" s="315">
        <v>2</v>
      </c>
      <c r="B120" s="563" t="s">
        <v>868</v>
      </c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</row>
    <row r="121" spans="1:44" ht="12.6" hidden="1" customHeight="1" x14ac:dyDescent="0.25">
      <c r="A121" s="315"/>
      <c r="B121" s="39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398"/>
      <c r="AA121" s="398"/>
    </row>
    <row r="122" spans="1:44" ht="98.25" customHeight="1" x14ac:dyDescent="0.25">
      <c r="A122" s="315"/>
      <c r="B122" s="494"/>
      <c r="C122" s="495"/>
      <c r="D122" s="495"/>
      <c r="E122" s="495"/>
      <c r="F122" s="495"/>
      <c r="G122" s="495"/>
      <c r="H122" s="495"/>
      <c r="I122" s="495"/>
      <c r="J122" s="495"/>
      <c r="K122" s="495"/>
      <c r="L122" s="495"/>
      <c r="M122" s="495"/>
      <c r="N122" s="495"/>
      <c r="O122" s="495"/>
      <c r="P122" s="495"/>
      <c r="Q122" s="495"/>
      <c r="R122" s="495"/>
      <c r="S122" s="495"/>
      <c r="T122" s="495"/>
      <c r="U122" s="495"/>
      <c r="V122" s="495"/>
      <c r="W122" s="495"/>
      <c r="X122" s="495"/>
      <c r="Y122" s="495"/>
      <c r="Z122" s="495"/>
      <c r="AA122" s="495"/>
      <c r="AB122" s="496"/>
    </row>
    <row r="123" spans="1:44" ht="173.25" customHeight="1" x14ac:dyDescent="0.2">
      <c r="A123" s="323"/>
      <c r="B123" s="497"/>
      <c r="C123" s="498"/>
      <c r="D123" s="498"/>
      <c r="E123" s="498"/>
      <c r="F123" s="498"/>
      <c r="G123" s="498"/>
      <c r="H123" s="498"/>
      <c r="I123" s="498"/>
      <c r="J123" s="498"/>
      <c r="K123" s="498"/>
      <c r="L123" s="498"/>
      <c r="M123" s="498"/>
      <c r="N123" s="498"/>
      <c r="O123" s="498"/>
      <c r="P123" s="498"/>
      <c r="Q123" s="498"/>
      <c r="R123" s="498"/>
      <c r="S123" s="498"/>
      <c r="T123" s="498"/>
      <c r="U123" s="498"/>
      <c r="V123" s="498"/>
      <c r="W123" s="498"/>
      <c r="X123" s="498"/>
      <c r="Y123" s="498"/>
      <c r="Z123" s="498"/>
      <c r="AA123" s="498"/>
      <c r="AB123" s="499"/>
      <c r="AM123" s="169"/>
    </row>
    <row r="124" spans="1:44" ht="207.75" customHeight="1" x14ac:dyDescent="0.2">
      <c r="A124" s="322"/>
      <c r="B124" s="500"/>
      <c r="C124" s="501"/>
      <c r="D124" s="501"/>
      <c r="E124" s="501"/>
      <c r="F124" s="501"/>
      <c r="G124" s="501"/>
      <c r="H124" s="501"/>
      <c r="I124" s="501"/>
      <c r="J124" s="501"/>
      <c r="K124" s="501"/>
      <c r="L124" s="501"/>
      <c r="M124" s="501"/>
      <c r="N124" s="501"/>
      <c r="O124" s="501"/>
      <c r="P124" s="501"/>
      <c r="Q124" s="501"/>
      <c r="R124" s="501"/>
      <c r="S124" s="501"/>
      <c r="T124" s="501"/>
      <c r="U124" s="501"/>
      <c r="V124" s="501"/>
      <c r="W124" s="501"/>
      <c r="X124" s="501"/>
      <c r="Y124" s="501"/>
      <c r="Z124" s="501"/>
      <c r="AA124" s="501"/>
      <c r="AB124" s="502"/>
      <c r="AM124" s="396"/>
    </row>
    <row r="125" spans="1:44" ht="22.9" customHeight="1" x14ac:dyDescent="0.25">
      <c r="A125" s="315">
        <v>3</v>
      </c>
      <c r="B125" s="561" t="s">
        <v>781</v>
      </c>
      <c r="C125" s="562"/>
      <c r="D125" s="562"/>
      <c r="E125" s="562"/>
      <c r="F125" s="562"/>
      <c r="G125" s="562"/>
      <c r="H125" s="562"/>
      <c r="I125" s="562"/>
      <c r="J125" s="562"/>
      <c r="K125" s="562"/>
      <c r="L125" s="562"/>
      <c r="M125" s="562"/>
      <c r="N125" s="562"/>
      <c r="O125" s="562"/>
      <c r="P125" s="562"/>
      <c r="Q125" s="562"/>
      <c r="R125" s="562"/>
      <c r="S125" s="562"/>
      <c r="T125" s="562"/>
      <c r="U125" s="562"/>
      <c r="V125" s="562"/>
      <c r="W125" s="562"/>
      <c r="X125" s="562"/>
      <c r="Y125" s="562"/>
      <c r="Z125" s="562"/>
      <c r="AA125" s="562"/>
      <c r="AB125" s="562"/>
      <c r="AM125" s="395"/>
    </row>
    <row r="126" spans="1:44" ht="244.5" customHeight="1" x14ac:dyDescent="0.2">
      <c r="A126" s="323"/>
      <c r="B126" s="485"/>
      <c r="C126" s="486"/>
      <c r="D126" s="486"/>
      <c r="E126" s="486"/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86"/>
      <c r="Q126" s="486"/>
      <c r="R126" s="486"/>
      <c r="S126" s="486"/>
      <c r="T126" s="486"/>
      <c r="U126" s="486"/>
      <c r="V126" s="486"/>
      <c r="W126" s="486"/>
      <c r="X126" s="486"/>
      <c r="Y126" s="486"/>
      <c r="Z126" s="486"/>
      <c r="AA126" s="486"/>
      <c r="AB126" s="487"/>
      <c r="AM126" s="395"/>
    </row>
    <row r="127" spans="1:44" ht="287.25" customHeight="1" x14ac:dyDescent="0.2">
      <c r="A127" s="322"/>
      <c r="B127" s="554"/>
      <c r="C127" s="555"/>
      <c r="D127" s="555"/>
      <c r="E127" s="555"/>
      <c r="F127" s="555"/>
      <c r="G127" s="555"/>
      <c r="H127" s="555"/>
      <c r="I127" s="555"/>
      <c r="J127" s="555"/>
      <c r="K127" s="555"/>
      <c r="L127" s="555"/>
      <c r="M127" s="555"/>
      <c r="N127" s="555"/>
      <c r="O127" s="555"/>
      <c r="P127" s="555"/>
      <c r="Q127" s="555"/>
      <c r="R127" s="555"/>
      <c r="S127" s="555"/>
      <c r="T127" s="555"/>
      <c r="U127" s="555"/>
      <c r="V127" s="555"/>
      <c r="W127" s="555"/>
      <c r="X127" s="555"/>
      <c r="Y127" s="555"/>
      <c r="Z127" s="555"/>
      <c r="AA127" s="555"/>
      <c r="AB127" s="556"/>
      <c r="AM127" s="395"/>
    </row>
    <row r="128" spans="1:44" ht="18" customHeight="1" x14ac:dyDescent="0.25">
      <c r="A128" s="315">
        <v>4</v>
      </c>
      <c r="B128" s="182" t="s">
        <v>770</v>
      </c>
      <c r="C128" s="172"/>
      <c r="D128" s="172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M128" s="395"/>
    </row>
    <row r="129" spans="1:39" ht="2.4500000000000002" customHeight="1" x14ac:dyDescent="0.25">
      <c r="A129" s="315"/>
      <c r="B129" s="182"/>
      <c r="C129" s="172"/>
      <c r="D129" s="172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M129" s="395"/>
    </row>
    <row r="130" spans="1:39" ht="150" customHeight="1" x14ac:dyDescent="0.25">
      <c r="A130" s="315"/>
      <c r="B130" s="485"/>
      <c r="C130" s="486"/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86"/>
      <c r="Q130" s="486"/>
      <c r="R130" s="486"/>
      <c r="S130" s="486"/>
      <c r="T130" s="486"/>
      <c r="U130" s="486"/>
      <c r="V130" s="486"/>
      <c r="W130" s="486"/>
      <c r="X130" s="486"/>
      <c r="Y130" s="486"/>
      <c r="Z130" s="486"/>
      <c r="AA130" s="486"/>
      <c r="AB130" s="487"/>
      <c r="AM130" s="395"/>
    </row>
    <row r="131" spans="1:39" ht="103.15" customHeight="1" x14ac:dyDescent="0.2">
      <c r="A131" s="323"/>
      <c r="B131" s="488"/>
      <c r="C131" s="489"/>
      <c r="D131" s="489"/>
      <c r="E131" s="489"/>
      <c r="F131" s="489"/>
      <c r="G131" s="489"/>
      <c r="H131" s="489"/>
      <c r="I131" s="489"/>
      <c r="J131" s="489"/>
      <c r="K131" s="489"/>
      <c r="L131" s="489"/>
      <c r="M131" s="489"/>
      <c r="N131" s="489"/>
      <c r="O131" s="489"/>
      <c r="P131" s="489"/>
      <c r="Q131" s="489"/>
      <c r="R131" s="489"/>
      <c r="S131" s="489"/>
      <c r="T131" s="489"/>
      <c r="U131" s="489"/>
      <c r="V131" s="489"/>
      <c r="W131" s="489"/>
      <c r="X131" s="489"/>
      <c r="Y131" s="489"/>
      <c r="Z131" s="489"/>
      <c r="AA131" s="489"/>
      <c r="AB131" s="490"/>
      <c r="AM131" s="395"/>
    </row>
    <row r="132" spans="1:39" ht="100.5" customHeight="1" x14ac:dyDescent="0.2">
      <c r="A132" s="324"/>
      <c r="B132" s="491"/>
      <c r="C132" s="492"/>
      <c r="D132" s="492"/>
      <c r="E132" s="492"/>
      <c r="F132" s="492"/>
      <c r="G132" s="492"/>
      <c r="H132" s="492"/>
      <c r="I132" s="492"/>
      <c r="J132" s="492"/>
      <c r="K132" s="492"/>
      <c r="L132" s="492"/>
      <c r="M132" s="492"/>
      <c r="N132" s="492"/>
      <c r="O132" s="492"/>
      <c r="P132" s="492"/>
      <c r="Q132" s="492"/>
      <c r="R132" s="492"/>
      <c r="S132" s="492"/>
      <c r="T132" s="492"/>
      <c r="U132" s="492"/>
      <c r="V132" s="492"/>
      <c r="W132" s="492"/>
      <c r="X132" s="492"/>
      <c r="Y132" s="492"/>
      <c r="Z132" s="492"/>
      <c r="AA132" s="492"/>
      <c r="AB132" s="493"/>
      <c r="AM132" s="395"/>
    </row>
    <row r="133" spans="1:39" ht="19.5" customHeight="1" x14ac:dyDescent="0.2">
      <c r="A133" s="324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M133" s="395"/>
    </row>
    <row r="134" spans="1:39" ht="14.25" customHeight="1" x14ac:dyDescent="0.25">
      <c r="A134" s="315">
        <v>5</v>
      </c>
      <c r="B134" s="182" t="s">
        <v>841</v>
      </c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</row>
    <row r="135" spans="1:39" ht="166.5" customHeight="1" x14ac:dyDescent="0.25">
      <c r="A135" s="315"/>
      <c r="B135" s="494"/>
      <c r="C135" s="495"/>
      <c r="D135" s="495"/>
      <c r="E135" s="495"/>
      <c r="F135" s="495"/>
      <c r="G135" s="495"/>
      <c r="H135" s="495"/>
      <c r="I135" s="495"/>
      <c r="J135" s="495"/>
      <c r="K135" s="495"/>
      <c r="L135" s="495"/>
      <c r="M135" s="495"/>
      <c r="N135" s="495"/>
      <c r="O135" s="495"/>
      <c r="P135" s="495"/>
      <c r="Q135" s="495"/>
      <c r="R135" s="495"/>
      <c r="S135" s="495"/>
      <c r="T135" s="495"/>
      <c r="U135" s="495"/>
      <c r="V135" s="495"/>
      <c r="W135" s="495"/>
      <c r="X135" s="495"/>
      <c r="Y135" s="495"/>
      <c r="Z135" s="495"/>
      <c r="AA135" s="495"/>
      <c r="AB135" s="496"/>
    </row>
    <row r="136" spans="1:39" ht="167.25" customHeight="1" x14ac:dyDescent="0.2">
      <c r="A136" s="323"/>
      <c r="B136" s="500"/>
      <c r="C136" s="501"/>
      <c r="D136" s="501"/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501"/>
      <c r="Y136" s="501"/>
      <c r="Z136" s="501"/>
      <c r="AA136" s="501"/>
      <c r="AB136" s="502"/>
    </row>
    <row r="137" spans="1:39" ht="12.75" customHeight="1" x14ac:dyDescent="0.2">
      <c r="A137" s="323"/>
      <c r="B137" s="327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7"/>
      <c r="V137" s="327"/>
      <c r="W137" s="327"/>
      <c r="X137" s="327"/>
      <c r="Y137" s="327"/>
      <c r="Z137" s="327"/>
      <c r="AA137" s="327"/>
      <c r="AB137" s="327"/>
    </row>
    <row r="138" spans="1:39" ht="30" customHeight="1" x14ac:dyDescent="0.25">
      <c r="A138" s="924" t="s">
        <v>747</v>
      </c>
      <c r="B138" s="932" t="s">
        <v>991</v>
      </c>
      <c r="C138" s="824"/>
      <c r="D138" s="824"/>
      <c r="E138" s="824"/>
      <c r="F138" s="824"/>
      <c r="G138" s="824"/>
      <c r="H138" s="824"/>
      <c r="I138" s="824"/>
      <c r="J138" s="824"/>
      <c r="K138" s="824"/>
      <c r="L138" s="824"/>
      <c r="M138" s="824"/>
      <c r="N138" s="824"/>
      <c r="O138" s="824"/>
      <c r="P138" s="824"/>
      <c r="Q138" s="824"/>
      <c r="R138" s="824"/>
      <c r="S138" s="824"/>
      <c r="T138" s="824"/>
      <c r="U138" s="824"/>
      <c r="V138" s="824"/>
      <c r="W138" s="824"/>
      <c r="X138" s="824"/>
      <c r="Y138" s="824"/>
      <c r="Z138" s="824"/>
      <c r="AA138" s="824"/>
      <c r="AB138" s="824"/>
    </row>
    <row r="139" spans="1:39" ht="145.5" customHeight="1" x14ac:dyDescent="0.2">
      <c r="A139" s="925"/>
      <c r="B139" s="926"/>
      <c r="C139" s="927"/>
      <c r="D139" s="927"/>
      <c r="E139" s="927"/>
      <c r="F139" s="927"/>
      <c r="G139" s="927"/>
      <c r="H139" s="927"/>
      <c r="I139" s="927"/>
      <c r="J139" s="927"/>
      <c r="K139" s="927"/>
      <c r="L139" s="927"/>
      <c r="M139" s="927"/>
      <c r="N139" s="927"/>
      <c r="O139" s="927"/>
      <c r="P139" s="927"/>
      <c r="Q139" s="927"/>
      <c r="R139" s="927"/>
      <c r="S139" s="927"/>
      <c r="T139" s="927"/>
      <c r="U139" s="927"/>
      <c r="V139" s="927"/>
      <c r="W139" s="927"/>
      <c r="X139" s="927"/>
      <c r="Y139" s="927"/>
      <c r="Z139" s="927"/>
      <c r="AA139" s="927"/>
      <c r="AB139" s="928"/>
    </row>
    <row r="140" spans="1:39" ht="165.75" customHeight="1" x14ac:dyDescent="0.2">
      <c r="A140" s="925"/>
      <c r="B140" s="497"/>
      <c r="C140" s="931"/>
      <c r="D140" s="931"/>
      <c r="E140" s="931"/>
      <c r="F140" s="931"/>
      <c r="G140" s="931"/>
      <c r="H140" s="931"/>
      <c r="I140" s="931"/>
      <c r="J140" s="931"/>
      <c r="K140" s="931"/>
      <c r="L140" s="931"/>
      <c r="M140" s="931"/>
      <c r="N140" s="931"/>
      <c r="O140" s="931"/>
      <c r="P140" s="931"/>
      <c r="Q140" s="931"/>
      <c r="R140" s="931"/>
      <c r="S140" s="931"/>
      <c r="T140" s="931"/>
      <c r="U140" s="931"/>
      <c r="V140" s="931"/>
      <c r="W140" s="931"/>
      <c r="X140" s="931"/>
      <c r="Y140" s="931"/>
      <c r="Z140" s="931"/>
      <c r="AA140" s="931"/>
      <c r="AB140" s="686"/>
    </row>
    <row r="141" spans="1:39" ht="101.25" customHeight="1" x14ac:dyDescent="0.2">
      <c r="A141" s="925"/>
      <c r="B141" s="929"/>
      <c r="C141" s="930"/>
      <c r="D141" s="930"/>
      <c r="E141" s="930"/>
      <c r="F141" s="930"/>
      <c r="G141" s="930"/>
      <c r="H141" s="930"/>
      <c r="I141" s="930"/>
      <c r="J141" s="930"/>
      <c r="K141" s="930"/>
      <c r="L141" s="930"/>
      <c r="M141" s="930"/>
      <c r="N141" s="930"/>
      <c r="O141" s="930"/>
      <c r="P141" s="930"/>
      <c r="Q141" s="930"/>
      <c r="R141" s="930"/>
      <c r="S141" s="930"/>
      <c r="T141" s="930"/>
      <c r="U141" s="930"/>
      <c r="V141" s="930"/>
      <c r="W141" s="930"/>
      <c r="X141" s="930"/>
      <c r="Y141" s="930"/>
      <c r="Z141" s="930"/>
      <c r="AA141" s="930"/>
      <c r="AB141" s="690"/>
    </row>
    <row r="142" spans="1:39" ht="14.25" customHeight="1" x14ac:dyDescent="0.25">
      <c r="A142" s="91"/>
      <c r="B142" s="172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</row>
    <row r="143" spans="1:39" ht="17.25" customHeight="1" x14ac:dyDescent="0.25">
      <c r="A143" s="321" t="s">
        <v>748</v>
      </c>
      <c r="B143" s="211" t="s">
        <v>263</v>
      </c>
      <c r="C143" s="172"/>
      <c r="D143" s="172"/>
      <c r="E143" s="172"/>
      <c r="F143" s="172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</row>
    <row r="144" spans="1:39" ht="21" customHeight="1" x14ac:dyDescent="0.2">
      <c r="A144" s="321"/>
      <c r="B144" s="211"/>
      <c r="C144" s="211"/>
      <c r="D144" s="211"/>
      <c r="E144" s="211"/>
      <c r="F144" s="400"/>
      <c r="G144" s="509" t="s">
        <v>941</v>
      </c>
      <c r="H144" s="510"/>
      <c r="I144" s="510"/>
      <c r="J144" s="510"/>
      <c r="K144" s="510"/>
      <c r="L144" s="511"/>
      <c r="M144" s="567"/>
      <c r="N144" s="568"/>
      <c r="O144" s="568"/>
      <c r="P144" s="568"/>
      <c r="Q144" s="568"/>
      <c r="R144" s="568"/>
      <c r="S144" s="568"/>
      <c r="T144" s="568"/>
      <c r="U144" s="568"/>
      <c r="V144" s="568"/>
      <c r="W144" s="568"/>
      <c r="X144" s="569"/>
      <c r="Y144" s="509" t="s">
        <v>213</v>
      </c>
      <c r="Z144" s="510"/>
      <c r="AA144" s="510"/>
      <c r="AB144" s="511"/>
    </row>
    <row r="145" spans="1:39" ht="34.15" customHeight="1" x14ac:dyDescent="0.2">
      <c r="A145" s="321"/>
      <c r="B145" s="211"/>
      <c r="C145" s="211"/>
      <c r="D145" s="211"/>
      <c r="E145" s="211"/>
      <c r="G145" s="515"/>
      <c r="H145" s="516"/>
      <c r="I145" s="516"/>
      <c r="J145" s="516"/>
      <c r="K145" s="516"/>
      <c r="L145" s="517"/>
      <c r="M145" s="564" t="s">
        <v>265</v>
      </c>
      <c r="N145" s="565"/>
      <c r="O145" s="565"/>
      <c r="P145" s="566"/>
      <c r="Q145" s="564" t="s">
        <v>266</v>
      </c>
      <c r="R145" s="565"/>
      <c r="S145" s="565"/>
      <c r="T145" s="566"/>
      <c r="U145" s="564" t="s">
        <v>264</v>
      </c>
      <c r="V145" s="565"/>
      <c r="W145" s="565"/>
      <c r="X145" s="566"/>
      <c r="Y145" s="515"/>
      <c r="Z145" s="516"/>
      <c r="AA145" s="516"/>
      <c r="AB145" s="517"/>
    </row>
    <row r="146" spans="1:39" ht="29.25" customHeight="1" x14ac:dyDescent="0.2">
      <c r="A146" s="159"/>
      <c r="B146" s="558" t="s">
        <v>232</v>
      </c>
      <c r="C146" s="559"/>
      <c r="D146" s="559"/>
      <c r="E146" s="559"/>
      <c r="F146" s="560"/>
      <c r="G146" s="551"/>
      <c r="H146" s="552"/>
      <c r="I146" s="552"/>
      <c r="J146" s="552"/>
      <c r="K146" s="552"/>
      <c r="L146" s="553"/>
      <c r="M146" s="551"/>
      <c r="N146" s="552"/>
      <c r="O146" s="552"/>
      <c r="P146" s="553"/>
      <c r="Q146" s="548"/>
      <c r="R146" s="549"/>
      <c r="S146" s="549"/>
      <c r="T146" s="550"/>
      <c r="U146" s="548"/>
      <c r="V146" s="549"/>
      <c r="W146" s="549"/>
      <c r="X146" s="550"/>
      <c r="Y146" s="557"/>
      <c r="Z146" s="557"/>
      <c r="AA146" s="557"/>
      <c r="AB146" s="557"/>
    </row>
    <row r="147" spans="1:39" ht="24.75" customHeight="1" x14ac:dyDescent="0.25">
      <c r="A147" s="159"/>
      <c r="B147" s="558" t="s">
        <v>233</v>
      </c>
      <c r="C147" s="559"/>
      <c r="D147" s="559"/>
      <c r="E147" s="559"/>
      <c r="F147" s="560"/>
      <c r="G147" s="551"/>
      <c r="H147" s="552"/>
      <c r="I147" s="552"/>
      <c r="J147" s="552"/>
      <c r="K147" s="552"/>
      <c r="L147" s="553"/>
      <c r="M147" s="551"/>
      <c r="N147" s="552"/>
      <c r="O147" s="552"/>
      <c r="P147" s="553"/>
      <c r="Q147" s="548"/>
      <c r="R147" s="549"/>
      <c r="S147" s="549"/>
      <c r="T147" s="550"/>
      <c r="U147" s="548"/>
      <c r="V147" s="549"/>
      <c r="W147" s="549"/>
      <c r="X147" s="550"/>
      <c r="Y147" s="572"/>
      <c r="Z147" s="572"/>
      <c r="AA147" s="572"/>
      <c r="AB147" s="572"/>
    </row>
    <row r="148" spans="1:39" ht="26.25" customHeight="1" x14ac:dyDescent="0.2">
      <c r="A148" s="159"/>
      <c r="B148" s="558" t="s">
        <v>298</v>
      </c>
      <c r="C148" s="559"/>
      <c r="D148" s="559"/>
      <c r="E148" s="559"/>
      <c r="F148" s="560"/>
      <c r="G148" s="551"/>
      <c r="H148" s="552"/>
      <c r="I148" s="552"/>
      <c r="J148" s="552"/>
      <c r="K148" s="552"/>
      <c r="L148" s="553"/>
      <c r="M148" s="551"/>
      <c r="N148" s="552"/>
      <c r="O148" s="552"/>
      <c r="P148" s="553"/>
      <c r="Q148" s="548"/>
      <c r="R148" s="549"/>
      <c r="S148" s="549"/>
      <c r="T148" s="550"/>
      <c r="U148" s="548"/>
      <c r="V148" s="549"/>
      <c r="W148" s="549"/>
      <c r="X148" s="550"/>
      <c r="Y148" s="557"/>
      <c r="Z148" s="557"/>
      <c r="AA148" s="557"/>
      <c r="AB148" s="557"/>
    </row>
    <row r="149" spans="1:39" ht="7.9" customHeight="1" x14ac:dyDescent="0.2">
      <c r="A149" s="159"/>
      <c r="B149" s="212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400"/>
      <c r="R149" s="400"/>
      <c r="S149" s="400"/>
      <c r="T149" s="400"/>
      <c r="U149" s="400"/>
      <c r="V149" s="400"/>
      <c r="W149" s="400"/>
      <c r="X149" s="400"/>
      <c r="Y149" s="400"/>
      <c r="Z149" s="400"/>
      <c r="AA149" s="400"/>
    </row>
    <row r="150" spans="1:39" ht="14.45" customHeight="1" x14ac:dyDescent="0.25">
      <c r="A150" s="172"/>
      <c r="B150" s="172" t="s">
        <v>869</v>
      </c>
      <c r="C150" s="211"/>
      <c r="D150" s="211"/>
      <c r="E150" s="211"/>
      <c r="F150" s="400"/>
      <c r="G150" s="400"/>
      <c r="H150" s="400"/>
      <c r="I150" s="400"/>
      <c r="J150" s="400"/>
      <c r="K150" s="400"/>
      <c r="L150" s="400"/>
      <c r="M150" s="400"/>
      <c r="N150" s="400"/>
      <c r="O150" s="400"/>
      <c r="P150" s="400"/>
      <c r="Q150" s="400"/>
      <c r="R150" s="400"/>
      <c r="S150" s="400"/>
      <c r="T150" s="400"/>
      <c r="U150" s="400"/>
      <c r="V150" s="400"/>
      <c r="W150" s="400"/>
      <c r="X150" s="400"/>
      <c r="Y150" s="400"/>
      <c r="Z150" s="400"/>
      <c r="AA150" s="400"/>
    </row>
    <row r="151" spans="1:39" ht="6.6" customHeight="1" x14ac:dyDescent="0.25">
      <c r="A151" s="172"/>
      <c r="B151" s="172"/>
      <c r="C151" s="211"/>
      <c r="D151" s="211"/>
      <c r="E151" s="211"/>
      <c r="F151" s="400"/>
      <c r="G151" s="400"/>
      <c r="H151" s="400"/>
      <c r="I151" s="400"/>
      <c r="J151" s="400"/>
      <c r="K151" s="400"/>
      <c r="L151" s="400"/>
      <c r="M151" s="400"/>
      <c r="N151" s="400"/>
      <c r="O151" s="400"/>
      <c r="P151" s="400"/>
      <c r="Q151" s="400"/>
      <c r="R151" s="400"/>
      <c r="S151" s="400"/>
      <c r="T151" s="400"/>
      <c r="U151" s="400"/>
      <c r="V151" s="400"/>
      <c r="W151" s="400"/>
      <c r="X151" s="400"/>
      <c r="Y151" s="400"/>
      <c r="Z151" s="400"/>
      <c r="AA151" s="400"/>
    </row>
    <row r="152" spans="1:39" ht="115.15" customHeight="1" x14ac:dyDescent="0.25">
      <c r="A152" s="172"/>
      <c r="B152" s="494"/>
      <c r="C152" s="573"/>
      <c r="D152" s="573"/>
      <c r="E152" s="573"/>
      <c r="F152" s="573"/>
      <c r="G152" s="573"/>
      <c r="H152" s="573"/>
      <c r="I152" s="573"/>
      <c r="J152" s="573"/>
      <c r="K152" s="573"/>
      <c r="L152" s="573"/>
      <c r="M152" s="573"/>
      <c r="N152" s="573"/>
      <c r="O152" s="573"/>
      <c r="P152" s="573"/>
      <c r="Q152" s="573"/>
      <c r="R152" s="573"/>
      <c r="S152" s="573"/>
      <c r="T152" s="573"/>
      <c r="U152" s="573"/>
      <c r="V152" s="573"/>
      <c r="W152" s="573"/>
      <c r="X152" s="573"/>
      <c r="Y152" s="573"/>
      <c r="Z152" s="573"/>
      <c r="AA152" s="573"/>
      <c r="AB152" s="574"/>
    </row>
    <row r="153" spans="1:39" ht="108" customHeight="1" x14ac:dyDescent="0.2">
      <c r="A153" s="323"/>
      <c r="B153" s="491"/>
      <c r="C153" s="492"/>
      <c r="D153" s="492"/>
      <c r="E153" s="492"/>
      <c r="F153" s="492"/>
      <c r="G153" s="492"/>
      <c r="H153" s="492"/>
      <c r="I153" s="492"/>
      <c r="J153" s="492"/>
      <c r="K153" s="492"/>
      <c r="L153" s="492"/>
      <c r="M153" s="492"/>
      <c r="N153" s="492"/>
      <c r="O153" s="492"/>
      <c r="P153" s="492"/>
      <c r="Q153" s="492"/>
      <c r="R153" s="492"/>
      <c r="S153" s="492"/>
      <c r="T153" s="492"/>
      <c r="U153" s="492"/>
      <c r="V153" s="492"/>
      <c r="W153" s="492"/>
      <c r="X153" s="492"/>
      <c r="Y153" s="492"/>
      <c r="Z153" s="492"/>
      <c r="AA153" s="492"/>
      <c r="AB153" s="493"/>
    </row>
    <row r="154" spans="1:39" ht="4.9000000000000004" customHeight="1" x14ac:dyDescent="0.25">
      <c r="A154" s="91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M154" s="395"/>
    </row>
    <row r="155" spans="1:39" ht="12.75" customHeight="1" x14ac:dyDescent="0.25">
      <c r="A155" s="315" t="s">
        <v>749</v>
      </c>
      <c r="B155" s="182" t="s">
        <v>385</v>
      </c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M155" s="395"/>
    </row>
    <row r="156" spans="1:39" ht="12.75" customHeight="1" x14ac:dyDescent="0.2">
      <c r="A156" s="322"/>
      <c r="B156" s="331"/>
      <c r="C156" s="332"/>
      <c r="D156" s="332"/>
      <c r="E156" s="332"/>
      <c r="F156" s="332"/>
      <c r="G156" s="332"/>
      <c r="H156" s="335"/>
      <c r="I156" s="400"/>
      <c r="J156" s="400"/>
      <c r="K156" s="400"/>
      <c r="L156" s="400"/>
      <c r="M156" s="400"/>
      <c r="N156" s="400"/>
      <c r="O156" s="400"/>
      <c r="P156" s="400"/>
      <c r="Q156" s="400"/>
      <c r="R156" s="400"/>
      <c r="S156" s="400"/>
      <c r="T156" s="400"/>
      <c r="U156" s="400"/>
      <c r="V156" s="400"/>
      <c r="W156" s="400"/>
      <c r="X156" s="400"/>
      <c r="Y156" s="400"/>
      <c r="Z156" s="400"/>
      <c r="AA156" s="400"/>
      <c r="AM156" s="395"/>
    </row>
    <row r="157" spans="1:39" ht="10.15" customHeight="1" x14ac:dyDescent="0.2">
      <c r="A157" s="322"/>
      <c r="B157" s="333"/>
      <c r="C157" s="336"/>
      <c r="D157" s="336"/>
      <c r="E157" s="336"/>
      <c r="F157" s="336"/>
      <c r="G157" s="336"/>
      <c r="H157" s="337"/>
      <c r="I157" s="400"/>
      <c r="J157" s="400"/>
      <c r="K157" s="400"/>
      <c r="L157" s="400"/>
      <c r="M157" s="400"/>
      <c r="N157" s="400"/>
      <c r="O157" s="400"/>
      <c r="P157" s="400"/>
      <c r="Q157" s="400"/>
      <c r="R157" s="400"/>
      <c r="S157" s="400"/>
      <c r="T157" s="400"/>
      <c r="U157" s="400"/>
      <c r="V157" s="400"/>
      <c r="W157" s="400"/>
      <c r="X157" s="400"/>
      <c r="Y157" s="400"/>
      <c r="Z157" s="400"/>
      <c r="AA157" s="400"/>
      <c r="AM157" s="395"/>
    </row>
    <row r="158" spans="1:39" ht="4.9000000000000004" customHeight="1" x14ac:dyDescent="0.2">
      <c r="A158" s="322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  <c r="Y158" s="186"/>
      <c r="Z158" s="186"/>
      <c r="AA158" s="186"/>
      <c r="AM158" s="395"/>
    </row>
    <row r="159" spans="1:39" ht="12.75" customHeight="1" x14ac:dyDescent="0.25">
      <c r="A159" s="315" t="s">
        <v>990</v>
      </c>
      <c r="B159" s="182" t="s">
        <v>843</v>
      </c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M159" s="395"/>
    </row>
    <row r="160" spans="1:39" ht="12.75" customHeight="1" x14ac:dyDescent="0.2">
      <c r="A160" s="322"/>
      <c r="B160" s="331"/>
      <c r="C160" s="412"/>
      <c r="D160" s="412"/>
      <c r="E160" s="412"/>
      <c r="F160" s="412"/>
      <c r="G160" s="412"/>
      <c r="H160" s="413"/>
      <c r="I160" s="394"/>
      <c r="J160" s="394"/>
      <c r="K160" s="394"/>
      <c r="L160" s="394"/>
      <c r="M160" s="394"/>
      <c r="N160" s="394"/>
      <c r="O160" s="394"/>
      <c r="P160" s="394"/>
      <c r="Q160" s="394"/>
      <c r="R160" s="394"/>
      <c r="S160" s="394"/>
      <c r="T160" s="394"/>
      <c r="U160" s="394"/>
      <c r="V160" s="394"/>
      <c r="W160" s="394"/>
      <c r="X160" s="394"/>
      <c r="Y160" s="394"/>
      <c r="Z160" s="394"/>
      <c r="AA160" s="394"/>
    </row>
    <row r="161" spans="1:29" ht="7.9" customHeight="1" x14ac:dyDescent="0.2">
      <c r="A161" s="322"/>
      <c r="B161" s="333"/>
      <c r="C161" s="220"/>
      <c r="D161" s="220"/>
      <c r="E161" s="220"/>
      <c r="F161" s="220"/>
      <c r="G161" s="220"/>
      <c r="H161" s="33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394"/>
      <c r="Z161" s="394"/>
      <c r="AA161" s="394"/>
    </row>
    <row r="162" spans="1:29" ht="4.9000000000000004" customHeight="1" x14ac:dyDescent="0.2">
      <c r="A162" s="322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20"/>
      <c r="AB162" s="570"/>
      <c r="AC162" s="571"/>
    </row>
    <row r="163" spans="1:29" x14ac:dyDescent="0.2"/>
    <row r="164" spans="1:29" x14ac:dyDescent="0.2"/>
    <row r="165" spans="1:29" x14ac:dyDescent="0.2"/>
    <row r="166" spans="1:29" x14ac:dyDescent="0.2"/>
    <row r="167" spans="1:29" x14ac:dyDescent="0.2"/>
    <row r="168" spans="1:29" x14ac:dyDescent="0.2"/>
    <row r="169" spans="1:29" x14ac:dyDescent="0.2"/>
    <row r="170" spans="1:29" x14ac:dyDescent="0.2"/>
    <row r="171" spans="1:29" x14ac:dyDescent="0.2"/>
    <row r="172" spans="1:29" x14ac:dyDescent="0.2"/>
    <row r="173" spans="1:29" x14ac:dyDescent="0.2"/>
    <row r="174" spans="1:29" x14ac:dyDescent="0.2"/>
    <row r="175" spans="1:29" x14ac:dyDescent="0.2"/>
    <row r="176" spans="1:29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ht="13.15" hidden="1" customHeight="1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</sheetData>
  <sheetProtection algorithmName="SHA-512" hashValue="U/dAHWEHT6LiUV4qIguRiHF+TCTKTfrWZ3QiSNtygftfgUaa7g7PLFjdLFv0f1KjLStkK5mThgZmhtDtp3ihlA==" saltValue="7bp8TkTBOXFA806lxL6zmg==" spinCount="100000" sheet="1" selectLockedCells="1"/>
  <customSheetViews>
    <customSheetView guid="{EEA7A97B-E2BF-43AD-B211-D284BEE221A1}" showGridLines="0" hiddenRows="1" showRuler="0">
      <selection activeCell="AB20" sqref="AB2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1"/>
      <headerFooter alignWithMargins="0"/>
    </customSheetView>
    <customSheetView guid="{04F5F062-CD85-4BE7-B897-A8C5C601EF7B}" showGridLines="0" hiddenRows="1" showRuler="0">
      <selection activeCell="T10" sqref="T10:Z1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2"/>
      <headerFooter alignWithMargins="0"/>
    </customSheetView>
  </customSheetViews>
  <mergeCells count="302">
    <mergeCell ref="M75:O75"/>
    <mergeCell ref="P75:R75"/>
    <mergeCell ref="M78:O78"/>
    <mergeCell ref="E73:L73"/>
    <mergeCell ref="E77:L77"/>
    <mergeCell ref="E75:L75"/>
    <mergeCell ref="E71:L71"/>
    <mergeCell ref="E65:L65"/>
    <mergeCell ref="P61:R61"/>
    <mergeCell ref="P62:R62"/>
    <mergeCell ref="M74:O74"/>
    <mergeCell ref="M65:O65"/>
    <mergeCell ref="M71:O71"/>
    <mergeCell ref="M67:O67"/>
    <mergeCell ref="M72:O72"/>
    <mergeCell ref="E78:L78"/>
    <mergeCell ref="S63:U63"/>
    <mergeCell ref="S64:U64"/>
    <mergeCell ref="S61:U61"/>
    <mergeCell ref="B62:D73"/>
    <mergeCell ref="S70:U70"/>
    <mergeCell ref="P71:R71"/>
    <mergeCell ref="L83:N83"/>
    <mergeCell ref="W83:X84"/>
    <mergeCell ref="E60:L61"/>
    <mergeCell ref="B77:D79"/>
    <mergeCell ref="P60:R60"/>
    <mergeCell ref="M61:O61"/>
    <mergeCell ref="E72:L72"/>
    <mergeCell ref="M62:O62"/>
    <mergeCell ref="S60:U60"/>
    <mergeCell ref="E62:L62"/>
    <mergeCell ref="E64:L64"/>
    <mergeCell ref="S65:U65"/>
    <mergeCell ref="S69:U69"/>
    <mergeCell ref="S71:U71"/>
    <mergeCell ref="S72:U72"/>
    <mergeCell ref="W62:Y62"/>
    <mergeCell ref="W63:Y63"/>
    <mergeCell ref="W64:Y64"/>
    <mergeCell ref="B32:I32"/>
    <mergeCell ref="B33:D33"/>
    <mergeCell ref="F34:I34"/>
    <mergeCell ref="B34:E34"/>
    <mergeCell ref="J47:AA47"/>
    <mergeCell ref="B47:E47"/>
    <mergeCell ref="B54:E54"/>
    <mergeCell ref="F54:H54"/>
    <mergeCell ref="B51:E51"/>
    <mergeCell ref="F51:H51"/>
    <mergeCell ref="W34:AB34"/>
    <mergeCell ref="F33:I33"/>
    <mergeCell ref="F52:H52"/>
    <mergeCell ref="F53:H53"/>
    <mergeCell ref="B53:E53"/>
    <mergeCell ref="J52:AB56"/>
    <mergeCell ref="P44:AA44"/>
    <mergeCell ref="F47:H47"/>
    <mergeCell ref="J50:AB51"/>
    <mergeCell ref="B44:N44"/>
    <mergeCell ref="B40:O40"/>
    <mergeCell ref="F50:H50"/>
    <mergeCell ref="F48:H48"/>
    <mergeCell ref="B52:E52"/>
    <mergeCell ref="B30:AB30"/>
    <mergeCell ref="B31:AB31"/>
    <mergeCell ref="V25:AB26"/>
    <mergeCell ref="I28:Z28"/>
    <mergeCell ref="B20:E20"/>
    <mergeCell ref="B21:E21"/>
    <mergeCell ref="F21:P21"/>
    <mergeCell ref="Q21:X21"/>
    <mergeCell ref="B25:U26"/>
    <mergeCell ref="V36:AB36"/>
    <mergeCell ref="AA17:AB17"/>
    <mergeCell ref="B14:F14"/>
    <mergeCell ref="G14:K14"/>
    <mergeCell ref="D18:G18"/>
    <mergeCell ref="AA18:AB18"/>
    <mergeCell ref="B15:F15"/>
    <mergeCell ref="B17:C17"/>
    <mergeCell ref="L15:X15"/>
    <mergeCell ref="B23:K23"/>
    <mergeCell ref="G15:K15"/>
    <mergeCell ref="L14:X14"/>
    <mergeCell ref="Q18:X18"/>
    <mergeCell ref="Q20:X20"/>
    <mergeCell ref="F20:P20"/>
    <mergeCell ref="B22:F22"/>
    <mergeCell ref="B18:C18"/>
    <mergeCell ref="H18:P18"/>
    <mergeCell ref="B27:AB27"/>
    <mergeCell ref="AA20:AB20"/>
    <mergeCell ref="AA21:AB21"/>
    <mergeCell ref="W32:AB32"/>
    <mergeCell ref="L23:X23"/>
    <mergeCell ref="L22:X22"/>
    <mergeCell ref="A1:AA1"/>
    <mergeCell ref="A2:AA2"/>
    <mergeCell ref="C4:Y4"/>
    <mergeCell ref="L13:O13"/>
    <mergeCell ref="B13:K13"/>
    <mergeCell ref="A8:AC8"/>
    <mergeCell ref="P13:X13"/>
    <mergeCell ref="B11:X11"/>
    <mergeCell ref="AA11:AB11"/>
    <mergeCell ref="A7:AB7"/>
    <mergeCell ref="B12:K12"/>
    <mergeCell ref="M12:O12"/>
    <mergeCell ref="B10:X10"/>
    <mergeCell ref="AA12:AB13"/>
    <mergeCell ref="F49:H49"/>
    <mergeCell ref="B46:I46"/>
    <mergeCell ref="M63:O63"/>
    <mergeCell ref="E67:L67"/>
    <mergeCell ref="E63:L63"/>
    <mergeCell ref="P64:R64"/>
    <mergeCell ref="M70:O70"/>
    <mergeCell ref="E70:L70"/>
    <mergeCell ref="P63:R63"/>
    <mergeCell ref="M64:O64"/>
    <mergeCell ref="P65:R65"/>
    <mergeCell ref="P68:R68"/>
    <mergeCell ref="P69:R69"/>
    <mergeCell ref="M66:O66"/>
    <mergeCell ref="P67:R67"/>
    <mergeCell ref="E69:L69"/>
    <mergeCell ref="M69:O69"/>
    <mergeCell ref="E68:L68"/>
    <mergeCell ref="P66:R66"/>
    <mergeCell ref="P70:R70"/>
    <mergeCell ref="M68:O68"/>
    <mergeCell ref="F56:H56"/>
    <mergeCell ref="B55:I55"/>
    <mergeCell ref="AB162:AC162"/>
    <mergeCell ref="B106:G106"/>
    <mergeCell ref="B104:G104"/>
    <mergeCell ref="Q145:T145"/>
    <mergeCell ref="B148:F148"/>
    <mergeCell ref="M145:P145"/>
    <mergeCell ref="Q106:W106"/>
    <mergeCell ref="H106:O106"/>
    <mergeCell ref="B107:G107"/>
    <mergeCell ref="Q104:W104"/>
    <mergeCell ref="M148:P148"/>
    <mergeCell ref="G148:L148"/>
    <mergeCell ref="Q148:T148"/>
    <mergeCell ref="Y147:AB147"/>
    <mergeCell ref="U148:X148"/>
    <mergeCell ref="Q146:T146"/>
    <mergeCell ref="Y148:AB148"/>
    <mergeCell ref="H107:O107"/>
    <mergeCell ref="B111:G111"/>
    <mergeCell ref="B105:G105"/>
    <mergeCell ref="Q107:W107"/>
    <mergeCell ref="B117:AB118"/>
    <mergeCell ref="B152:AB153"/>
    <mergeCell ref="B135:AB136"/>
    <mergeCell ref="Q147:T147"/>
    <mergeCell ref="M147:P147"/>
    <mergeCell ref="M146:P146"/>
    <mergeCell ref="G147:L147"/>
    <mergeCell ref="Q109:W109"/>
    <mergeCell ref="Y110:AB110"/>
    <mergeCell ref="B126:AB127"/>
    <mergeCell ref="Y146:AB146"/>
    <mergeCell ref="U147:X147"/>
    <mergeCell ref="B147:F147"/>
    <mergeCell ref="B125:AB125"/>
    <mergeCell ref="G146:L146"/>
    <mergeCell ref="G144:L145"/>
    <mergeCell ref="B120:AA120"/>
    <mergeCell ref="Y111:AB111"/>
    <mergeCell ref="B146:F146"/>
    <mergeCell ref="H111:O111"/>
    <mergeCell ref="Q111:W111"/>
    <mergeCell ref="U145:X145"/>
    <mergeCell ref="U146:X146"/>
    <mergeCell ref="Y144:AB145"/>
    <mergeCell ref="M144:X144"/>
    <mergeCell ref="B138:AB138"/>
    <mergeCell ref="B139:AB141"/>
    <mergeCell ref="A88:G88"/>
    <mergeCell ref="Q110:W110"/>
    <mergeCell ref="Y106:AB106"/>
    <mergeCell ref="Y105:AB105"/>
    <mergeCell ref="Y108:AB108"/>
    <mergeCell ref="Q105:W105"/>
    <mergeCell ref="Q108:W108"/>
    <mergeCell ref="H103:O103"/>
    <mergeCell ref="B108:G108"/>
    <mergeCell ref="B109:G109"/>
    <mergeCell ref="H105:O105"/>
    <mergeCell ref="H109:O109"/>
    <mergeCell ref="Y103:AB103"/>
    <mergeCell ref="Y104:AB104"/>
    <mergeCell ref="B103:G103"/>
    <mergeCell ref="Q103:W103"/>
    <mergeCell ref="H104:O104"/>
    <mergeCell ref="H110:O110"/>
    <mergeCell ref="B110:G110"/>
    <mergeCell ref="H108:O108"/>
    <mergeCell ref="Y107:AB107"/>
    <mergeCell ref="Y102:AB102"/>
    <mergeCell ref="Y109:AB109"/>
    <mergeCell ref="Q101:W101"/>
    <mergeCell ref="H100:O100"/>
    <mergeCell ref="B100:G100"/>
    <mergeCell ref="B101:G101"/>
    <mergeCell ref="B99:G99"/>
    <mergeCell ref="Q98:W98"/>
    <mergeCell ref="Q99:W99"/>
    <mergeCell ref="H98:O98"/>
    <mergeCell ref="Q100:W100"/>
    <mergeCell ref="E74:L74"/>
    <mergeCell ref="O83:Q83"/>
    <mergeCell ref="B80:D80"/>
    <mergeCell ref="B81:AA81"/>
    <mergeCell ref="E80:L80"/>
    <mergeCell ref="Y99:AB99"/>
    <mergeCell ref="Y98:AB98"/>
    <mergeCell ref="Z95:AA96"/>
    <mergeCell ref="B98:G98"/>
    <mergeCell ref="U83:V84"/>
    <mergeCell ref="S74:U74"/>
    <mergeCell ref="B93:J93"/>
    <mergeCell ref="H97:O97"/>
    <mergeCell ref="A90:G90"/>
    <mergeCell ref="A91:G91"/>
    <mergeCell ref="A92:G92"/>
    <mergeCell ref="W69:AB80"/>
    <mergeCell ref="B130:AB132"/>
    <mergeCell ref="B122:AB124"/>
    <mergeCell ref="P72:R72"/>
    <mergeCell ref="P74:R74"/>
    <mergeCell ref="S78:U78"/>
    <mergeCell ref="M73:O73"/>
    <mergeCell ref="P73:R73"/>
    <mergeCell ref="P77:R77"/>
    <mergeCell ref="H99:O99"/>
    <mergeCell ref="H101:O101"/>
    <mergeCell ref="Y101:AB101"/>
    <mergeCell ref="U82:X82"/>
    <mergeCell ref="B74:D76"/>
    <mergeCell ref="S75:U75"/>
    <mergeCell ref="E76:L76"/>
    <mergeCell ref="B83:K83"/>
    <mergeCell ref="B82:K82"/>
    <mergeCell ref="L82:N82"/>
    <mergeCell ref="O82:Q82"/>
    <mergeCell ref="Y100:AB100"/>
    <mergeCell ref="B102:G102"/>
    <mergeCell ref="H102:O102"/>
    <mergeCell ref="Q102:W102"/>
    <mergeCell ref="A89:G89"/>
    <mergeCell ref="Z62:AB62"/>
    <mergeCell ref="W60:AB61"/>
    <mergeCell ref="U37:AB37"/>
    <mergeCell ref="E79:L79"/>
    <mergeCell ref="M80:O80"/>
    <mergeCell ref="M79:O79"/>
    <mergeCell ref="P79:R79"/>
    <mergeCell ref="S77:U77"/>
    <mergeCell ref="P80:R80"/>
    <mergeCell ref="S80:U80"/>
    <mergeCell ref="M76:O76"/>
    <mergeCell ref="S79:U79"/>
    <mergeCell ref="S76:U76"/>
    <mergeCell ref="P76:R76"/>
    <mergeCell ref="P78:R78"/>
    <mergeCell ref="M77:O77"/>
    <mergeCell ref="S68:U68"/>
    <mergeCell ref="B56:E56"/>
    <mergeCell ref="S73:U73"/>
    <mergeCell ref="M60:O60"/>
    <mergeCell ref="S66:U66"/>
    <mergeCell ref="S67:U67"/>
    <mergeCell ref="S62:U62"/>
    <mergeCell ref="Z65:AB65"/>
    <mergeCell ref="W65:Y65"/>
    <mergeCell ref="W66:Y66"/>
    <mergeCell ref="W67:Y67"/>
    <mergeCell ref="Z63:AB63"/>
    <mergeCell ref="Z64:AB64"/>
    <mergeCell ref="Z66:AB66"/>
    <mergeCell ref="Z67:AB67"/>
    <mergeCell ref="Y97:AB97"/>
    <mergeCell ref="A85:AB85"/>
    <mergeCell ref="A86:AB86"/>
    <mergeCell ref="M87:AB87"/>
    <mergeCell ref="M88:AB88"/>
    <mergeCell ref="M89:AB89"/>
    <mergeCell ref="M90:AB90"/>
    <mergeCell ref="M91:AB91"/>
    <mergeCell ref="M92:AB92"/>
    <mergeCell ref="A87:G87"/>
    <mergeCell ref="H87:L87"/>
    <mergeCell ref="H88:L88"/>
    <mergeCell ref="H89:L89"/>
    <mergeCell ref="H90:L90"/>
    <mergeCell ref="H91:L91"/>
    <mergeCell ref="H92:L92"/>
  </mergeCells>
  <phoneticPr fontId="0" type="noConversion"/>
  <conditionalFormatting sqref="C154:AA159 AN160:AN162 AM157:AN158 F150:P151 F144 B154:B161 B142:AA143 B134:AA134 B119:AA119 AN119:AN125 A150:A162 Q146:AA151 B146:B152 A114:AA116 I96 B57:H58 Z57:AA58 J57:S58 E48:E50 B47 I47 I51:I54 B49:D50 O44 C43:H43 C39:AA39 A26:A27 J43:AA43 B41:H41 J41:AA41 P40:AA40 B120:B122 B125 B51:B54 F47:F54 A117:B117 B135 B43:B44 AM128:AM130 B128:AA129 AN127:AN133 A119:A137 A142:A145">
    <cfRule type="cellIs" dxfId="47" priority="137" stopIfTrue="1" operator="equal">
      <formula>"F"</formula>
    </cfRule>
  </conditionalFormatting>
  <conditionalFormatting sqref="B56 F56">
    <cfRule type="cellIs" dxfId="46" priority="127" stopIfTrue="1" operator="equal">
      <formula>"F"</formula>
    </cfRule>
  </conditionalFormatting>
  <conditionalFormatting sqref="AA12:AB13">
    <cfRule type="cellIs" dxfId="45" priority="59" stopIfTrue="1" operator="between">
      <formula>1</formula>
      <formula>500</formula>
    </cfRule>
  </conditionalFormatting>
  <conditionalFormatting sqref="AA18:AB18">
    <cfRule type="cellIs" dxfId="44" priority="58" stopIfTrue="1" operator="lessThanOrEqual">
      <formula>40784</formula>
    </cfRule>
  </conditionalFormatting>
  <conditionalFormatting sqref="H98:AB98">
    <cfRule type="expression" dxfId="43" priority="41" stopIfTrue="1">
      <formula>$B$98&lt;&gt;" "</formula>
    </cfRule>
  </conditionalFormatting>
  <conditionalFormatting sqref="H107:AB107">
    <cfRule type="expression" dxfId="42" priority="30" stopIfTrue="1">
      <formula>$B$107&lt;&gt;" "</formula>
    </cfRule>
  </conditionalFormatting>
  <conditionalFormatting sqref="H101:AB101">
    <cfRule type="expression" dxfId="41" priority="28" stopIfTrue="1">
      <formula>$B$101&lt;&gt;" "</formula>
    </cfRule>
  </conditionalFormatting>
  <conditionalFormatting sqref="H100:AB100">
    <cfRule type="expression" dxfId="40" priority="27" stopIfTrue="1">
      <formula>$B$100&lt;&gt;" "</formula>
    </cfRule>
  </conditionalFormatting>
  <conditionalFormatting sqref="H105:AB105">
    <cfRule type="expression" dxfId="39" priority="26" stopIfTrue="1">
      <formula>$B$105&lt;&gt;" "</formula>
    </cfRule>
  </conditionalFormatting>
  <conditionalFormatting sqref="H106:AB106">
    <cfRule type="expression" dxfId="38" priority="25" stopIfTrue="1">
      <formula>$B$106&lt;&gt;" "</formula>
    </cfRule>
  </conditionalFormatting>
  <conditionalFormatting sqref="H109:AB109">
    <cfRule type="expression" dxfId="37" priority="23" stopIfTrue="1">
      <formula>$B$109&lt;&gt;" "</formula>
    </cfRule>
  </conditionalFormatting>
  <conditionalFormatting sqref="H111:AB111">
    <cfRule type="expression" dxfId="36" priority="16" stopIfTrue="1">
      <formula>$B$111&lt;&gt;" "</formula>
    </cfRule>
  </conditionalFormatting>
  <conditionalFormatting sqref="H110:AB110">
    <cfRule type="expression" dxfId="35" priority="15" stopIfTrue="1">
      <formula>$B$110&lt;&gt;" "</formula>
    </cfRule>
  </conditionalFormatting>
  <conditionalFormatting sqref="H103:AB103">
    <cfRule type="expression" dxfId="34" priority="14" stopIfTrue="1">
      <formula>$B$103&lt;&gt;" "</formula>
    </cfRule>
  </conditionalFormatting>
  <conditionalFormatting sqref="H104:AB104">
    <cfRule type="expression" dxfId="33" priority="13" stopIfTrue="1">
      <formula>$B$104&lt;&gt;" "</formula>
    </cfRule>
  </conditionalFormatting>
  <conditionalFormatting sqref="H102:AB102">
    <cfRule type="expression" dxfId="32" priority="11" stopIfTrue="1">
      <formula>$B$102&lt;&gt;" "</formula>
    </cfRule>
  </conditionalFormatting>
  <conditionalFormatting sqref="AA21:AB21">
    <cfRule type="cellIs" dxfId="31" priority="10" stopIfTrue="1" operator="lessThanOrEqual">
      <formula>40784</formula>
    </cfRule>
  </conditionalFormatting>
  <conditionalFormatting sqref="H108:AB108">
    <cfRule type="expression" dxfId="30" priority="9" stopIfTrue="1">
      <formula>$B$108&lt;&gt;" "</formula>
    </cfRule>
  </conditionalFormatting>
  <conditionalFormatting sqref="U37">
    <cfRule type="containsText" dxfId="29" priority="7" operator="containsText" text="Übergangsregion!">
      <formula>NOT(ISERROR(SEARCH("Übergangsregion!",U37)))</formula>
    </cfRule>
  </conditionalFormatting>
  <conditionalFormatting sqref="B27:AB27">
    <cfRule type="containsText" dxfId="28" priority="6" operator="containsText" text="Bitte ">
      <formula>NOT(ISERROR(SEARCH("Bitte ",B27)))</formula>
    </cfRule>
  </conditionalFormatting>
  <conditionalFormatting sqref="H99:O99">
    <cfRule type="expression" dxfId="27" priority="5" stopIfTrue="1">
      <formula>$B$99&lt;&gt;" "</formula>
    </cfRule>
  </conditionalFormatting>
  <conditionalFormatting sqref="Q99:W99">
    <cfRule type="expression" dxfId="26" priority="4" stopIfTrue="1">
      <formula>$B$99&lt;&gt;" "</formula>
    </cfRule>
  </conditionalFormatting>
  <conditionalFormatting sqref="Y99:AB99">
    <cfRule type="expression" dxfId="25" priority="3" stopIfTrue="1">
      <formula>$B$99&lt;&gt;" "</formula>
    </cfRule>
  </conditionalFormatting>
  <conditionalFormatting sqref="A138:B138">
    <cfRule type="cellIs" dxfId="1" priority="1" stopIfTrue="1" operator="equal">
      <formula>"F"</formula>
    </cfRule>
  </conditionalFormatting>
  <conditionalFormatting sqref="A139:A141">
    <cfRule type="cellIs" dxfId="0" priority="2" stopIfTrue="1" operator="equal">
      <formula>"F"</formula>
    </cfRule>
  </conditionalFormatting>
  <dataValidations xWindow="132" yWindow="427" count="16">
    <dataValidation type="textLength" operator="lessThanOrEqual" allowBlank="1" showInputMessage="1" showErrorMessage="1" error="Maximale Zeichenanzahl überschritten!" promptTitle="Zeichenbegrenzung" prompt="Maximal 2400 Zeichen" sqref="B130:AB132" xr:uid="{00000000-0002-0000-0000-000000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." sqref="B137:AA137" xr:uid="{00000000-0002-0000-0000-000001000000}">
      <formula1>1850</formula1>
    </dataValidation>
    <dataValidation type="whole" operator="greaterThanOrEqual" allowBlank="1" showInputMessage="1" showErrorMessage="1" errorTitle="Mindestteilnehmendenanzahl" error="Die Mindestanzahl für Teilnehmende von 12 wurde unterschritten." promptTitle="Teilnehmeranzahl" prompt="Die Mindestanzahl für Teilnehmende liegt bei 12 Personen." sqref="C51" xr:uid="{00000000-0002-0000-0000-000002000000}">
      <formula1>12</formula1>
    </dataValidation>
    <dataValidation allowBlank="1" showErrorMessage="1" prompt="_x000a_" sqref="F56:H56" xr:uid="{00000000-0002-0000-0000-000003000000}"/>
    <dataValidation type="textLength" operator="lessThanOrEqual" allowBlank="1" showInputMessage="1" showErrorMessage="1" error="Maximale Zeichenanzahl überschritten!" promptTitle="Zeichenbegrenzung" prompt="Maximal 3000 Zeichen" sqref="B126:AB127" xr:uid="{00000000-0002-0000-0000-000004000000}">
      <formula1>3100</formula1>
    </dataValidation>
    <dataValidation allowBlank="1" showInputMessage="1" showErrorMessage="1" prompt="Bitte kreuzen Sie an: _x000a_wd für wiederholte Durchführung_x000a_ed für erstmalige Durchführung" sqref="J33" xr:uid="{00000000-0002-0000-0000-000005000000}"/>
    <dataValidation type="whole" operator="greaterThanOrEqual" allowBlank="1" showErrorMessage="1" error="Es können nur ganze Zahlen größer oder gleich 0 eingetragen werden." sqref="F47:H54" xr:uid="{00000000-0002-0000-0000-000006000000}">
      <formula1>0</formula1>
    </dataValidation>
    <dataValidation type="whole" allowBlank="1" showInputMessage="1" showErrorMessage="1" sqref="V25:AB26" xr:uid="{00000000-0002-0000-0000-000007000000}">
      <formula1>0</formula1>
      <formula2>9999999999</formula2>
    </dataValidation>
    <dataValidation type="whole" operator="greaterThanOrEqual" allowBlank="1" showInputMessage="1" showErrorMessage="1" error="Es können nur Zahlen größer oder gleich 0 eingetragen werden!" sqref="Z63:Z67 P62:V80 W62:W64 W68:X68" xr:uid="{00000000-0002-0000-0000-000008000000}">
      <formula1>0</formula1>
    </dataValidation>
    <dataValidation type="date" allowBlank="1" showInputMessage="1" showErrorMessage="1" error="Das eingetragene Datum liegt außerhalb des im Aufruf benannten Zeitraums!" prompt="Projektbeginn zwischen 01.07.2022 und 30.09.2022" sqref="B34:E34" xr:uid="{00000000-0002-0000-0000-000009000000}">
      <formula1>44743</formula1>
      <formula2>44834</formula2>
    </dataValidation>
    <dataValidation type="textLength" operator="lessThanOrEqual" allowBlank="1" showInputMessage="1" showErrorMessage="1" error="Maximale Zeichenanzahl überschritten." promptTitle="Zeichenbegenzung" prompt="Maximal 2400 Zeichen" sqref="B117:AB118" xr:uid="{00000000-0002-0000-0000-00000B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" sqref="B135:AB136" xr:uid="{00000000-0002-0000-0000-00000C000000}">
      <formula1>1900</formula1>
    </dataValidation>
    <dataValidation type="textLength" operator="lessThanOrEqual" allowBlank="1" showInputMessage="1" showErrorMessage="1" error="Maximale Zeichenanzahl überschritten!" promptTitle="Zeichenbegrenzung" prompt="Maximale Zeichenanzahl 1800" sqref="B152:AB153" xr:uid="{00000000-0002-0000-0000-00000D000000}">
      <formula1>1900</formula1>
    </dataValidation>
    <dataValidation type="textLength" operator="lessThanOrEqual" allowBlank="1" showInputMessage="1" showErrorMessage="1" error="Maximale Zeichenanzahl überschritten." promptTitle="Zeichenbegrenzung" prompt="Maximal 3000 Zeichen" sqref="B122:AB124" xr:uid="{00000000-0002-0000-0000-00000E000000}">
      <formula1>3100</formula1>
    </dataValidation>
    <dataValidation operator="greaterThanOrEqual" allowBlank="1" showInputMessage="1" showErrorMessage="1" error="Es können nur Zahlen größer oder gleich 0 eingetragen werden!" sqref="W69:AB80 W62:W64 W60" xr:uid="{5299698C-C114-4EE2-8020-D96DB8607DA1}"/>
    <dataValidation type="textLength" operator="lessThanOrEqual" allowBlank="1" showInputMessage="1" showErrorMessage="1" error="Maximale Zeichenanzahl überschritten!" promptTitle="Zeichenbegrenzung" prompt="Maximal 3000 Zeichen." sqref="B139:AB141" xr:uid="{91ED706A-A011-418D-BB6A-9F0F4A5F80E5}">
      <formula1>3100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999" orientation="portrait" r:id="rId3"/>
  <headerFooter alignWithMargins="0">
    <oddFooter>&amp;L&amp;F&amp;R&amp;P</oddFooter>
  </headerFooter>
  <rowBreaks count="3" manualBreakCount="3">
    <brk id="57" max="31" man="1"/>
    <brk id="112" max="28" man="1"/>
    <brk id="142" max="16383" man="1"/>
  </rowBreaks>
  <ignoredErrors>
    <ignoredError sqref="B98:G98 B99:B103 B105:B111 B104" unlockedFormula="1"/>
    <ignoredError sqref="P60 A159 A155 A143 A138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0" r:id="rId6" name="GeK">
              <controlPr locked="0" defaultSize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20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7" name="Aktion">
              <controlPr defaultSize="0" autoLine="0" autoPict="0">
                <anchor moveWithCells="1">
                  <from>
                    <xdr:col>1</xdr:col>
                    <xdr:colOff>28575</xdr:colOff>
                    <xdr:row>40</xdr:row>
                    <xdr:rowOff>0</xdr:rowOff>
                  </from>
                  <to>
                    <xdr:col>27</xdr:col>
                    <xdr:colOff>180975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" name="Fansatz">
              <controlPr defaultSize="0" autoLine="0" autoPict="0">
                <anchor moveWithCells="1">
                  <from>
                    <xdr:col>1</xdr:col>
                    <xdr:colOff>38100</xdr:colOff>
                    <xdr:row>42</xdr:row>
                    <xdr:rowOff>0</xdr:rowOff>
                  </from>
                  <to>
                    <xdr:col>27</xdr:col>
                    <xdr:colOff>180975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" name="ZG">
              <controlPr locked="0" defaultSize="0" autoLine="0" autoPict="0">
                <anchor moveWithCells="1">
                  <from>
                    <xdr:col>1</xdr:col>
                    <xdr:colOff>47625</xdr:colOff>
                    <xdr:row>44</xdr:row>
                    <xdr:rowOff>57150</xdr:rowOff>
                  </from>
                  <to>
                    <xdr:col>26</xdr:col>
                    <xdr:colOff>9525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0" name="wdedauswahl">
              <controlPr locked="0" defaultSize="0" print="0" autoFill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22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1" name="TNrlp">
              <controlPr locked="0" defaultSize="0" print="0" autoFill="0" autoPict="0">
                <anchor moveWithCells="1">
                  <from>
                    <xdr:col>9</xdr:col>
                    <xdr:colOff>0</xdr:colOff>
                    <xdr:row>46</xdr:row>
                    <xdr:rowOff>9525</xdr:rowOff>
                  </from>
                  <to>
                    <xdr:col>27</xdr:col>
                    <xdr:colOff>400050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2" name="Option Button 367">
              <controlPr defaultSize="0" autoFill="0" autoLine="0" autoPict="0">
                <anchor moveWithCells="1">
                  <from>
                    <xdr:col>10</xdr:col>
                    <xdr:colOff>219075</xdr:colOff>
                    <xdr:row>47</xdr:row>
                    <xdr:rowOff>9525</xdr:rowOff>
                  </from>
                  <to>
                    <xdr:col>12</xdr:col>
                    <xdr:colOff>76200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3" name="Option Button 368">
              <controlPr defaultSize="0" autoFill="0" autoLine="0" autoPict="0">
                <anchor moveWithCells="1">
                  <from>
                    <xdr:col>12</xdr:col>
                    <xdr:colOff>228600</xdr:colOff>
                    <xdr:row>47</xdr:row>
                    <xdr:rowOff>38100</xdr:rowOff>
                  </from>
                  <to>
                    <xdr:col>16</xdr:col>
                    <xdr:colOff>171450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4" name="chancengleichheitauswahl">
              <controlPr locked="0" defaultSize="0" print="0" autoFill="0" autoPict="0">
                <anchor moveWithCells="1">
                  <from>
                    <xdr:col>6</xdr:col>
                    <xdr:colOff>9525</xdr:colOff>
                    <xdr:row>145</xdr:row>
                    <xdr:rowOff>0</xdr:rowOff>
                  </from>
                  <to>
                    <xdr:col>12</xdr:col>
                    <xdr:colOff>0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5" name="Option Button 370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145</xdr:row>
                    <xdr:rowOff>95250</xdr:rowOff>
                  </from>
                  <to>
                    <xdr:col>9</xdr:col>
                    <xdr:colOff>152400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6" name="Option Button 371">
              <controlPr defaultSize="0" autoFill="0" autoLine="0" autoPict="0">
                <anchor moveWithCells="1">
                  <from>
                    <xdr:col>8</xdr:col>
                    <xdr:colOff>95250</xdr:colOff>
                    <xdr:row>146</xdr:row>
                    <xdr:rowOff>47625</xdr:rowOff>
                  </from>
                  <to>
                    <xdr:col>9</xdr:col>
                    <xdr:colOff>152400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7" name="Option Button 372">
              <controlPr defaultSize="0" autoFill="0" autoLine="0" autoPict="0">
                <anchor moveWithCells="1">
                  <from>
                    <xdr:col>8</xdr:col>
                    <xdr:colOff>95250</xdr:colOff>
                    <xdr:row>147</xdr:row>
                    <xdr:rowOff>76200</xdr:rowOff>
                  </from>
                  <to>
                    <xdr:col>9</xdr:col>
                    <xdr:colOff>152400</xdr:colOff>
                    <xdr:row>147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8" name="nachhaltigoekoauswahl">
              <controlPr locked="0" defaultSize="0" print="0" autoFill="0" autoPict="0">
                <anchor moveWithCells="1">
                  <from>
                    <xdr:col>12</xdr:col>
                    <xdr:colOff>9525</xdr:colOff>
                    <xdr:row>145</xdr:row>
                    <xdr:rowOff>0</xdr:rowOff>
                  </from>
                  <to>
                    <xdr:col>16</xdr:col>
                    <xdr:colOff>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9" name="Option Button 374">
              <controlPr defaultSize="0" autoFill="0" autoLine="0" autoPict="0">
                <anchor moveWithCells="1">
                  <from>
                    <xdr:col>13</xdr:col>
                    <xdr:colOff>85725</xdr:colOff>
                    <xdr:row>145</xdr:row>
                    <xdr:rowOff>104775</xdr:rowOff>
                  </from>
                  <to>
                    <xdr:col>14</xdr:col>
                    <xdr:colOff>142875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20" name="Option Button 375">
              <controlPr defaultSize="0" autoFill="0" autoLine="0" autoPict="0">
                <anchor moveWithCells="1">
                  <from>
                    <xdr:col>13</xdr:col>
                    <xdr:colOff>85725</xdr:colOff>
                    <xdr:row>146</xdr:row>
                    <xdr:rowOff>47625</xdr:rowOff>
                  </from>
                  <to>
                    <xdr:col>14</xdr:col>
                    <xdr:colOff>142875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21" name="Option Button 376">
              <controlPr defaultSize="0" autoFill="0" autoLine="0" autoPict="0">
                <anchor moveWithCells="1">
                  <from>
                    <xdr:col>13</xdr:col>
                    <xdr:colOff>95250</xdr:colOff>
                    <xdr:row>147</xdr:row>
                    <xdr:rowOff>47625</xdr:rowOff>
                  </from>
                  <to>
                    <xdr:col>14</xdr:col>
                    <xdr:colOff>152400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22" name="nachhaltigoekolauswahl">
              <controlPr locked="0" defaultSize="0" print="0" autoFill="0" autoPict="0">
                <anchor moveWithCells="1">
                  <from>
                    <xdr:col>16</xdr:col>
                    <xdr:colOff>0</xdr:colOff>
                    <xdr:row>145</xdr:row>
                    <xdr:rowOff>0</xdr:rowOff>
                  </from>
                  <to>
                    <xdr:col>20</xdr:col>
                    <xdr:colOff>9525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23" name="nachhaltigsozialauswahl">
              <controlPr locked="0" defaultSize="0" autoFill="0" autoPict="0">
                <anchor moveWithCells="1">
                  <from>
                    <xdr:col>20</xdr:col>
                    <xdr:colOff>0</xdr:colOff>
                    <xdr:row>145</xdr:row>
                    <xdr:rowOff>0</xdr:rowOff>
                  </from>
                  <to>
                    <xdr:col>24</xdr:col>
                    <xdr:colOff>9525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24" name="transnationalauswahl">
              <controlPr locked="0" defaultSize="0" print="0" autoFill="0" autoPict="0">
                <anchor moveWithCells="1">
                  <from>
                    <xdr:col>24</xdr:col>
                    <xdr:colOff>9525</xdr:colOff>
                    <xdr:row>145</xdr:row>
                    <xdr:rowOff>0</xdr:rowOff>
                  </from>
                  <to>
                    <xdr:col>27</xdr:col>
                    <xdr:colOff>390525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25" name="Option Button 381">
              <controlPr defaultSize="0" autoFill="0" autoLine="0" autoPict="0">
                <anchor moveWithCells="1">
                  <from>
                    <xdr:col>25</xdr:col>
                    <xdr:colOff>219075</xdr:colOff>
                    <xdr:row>145</xdr:row>
                    <xdr:rowOff>85725</xdr:rowOff>
                  </from>
                  <to>
                    <xdr:col>26</xdr:col>
                    <xdr:colOff>276225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26" name="Option Button 382">
              <controlPr defaultSize="0" autoFill="0" autoLine="0" autoPict="0">
                <anchor moveWithCells="1">
                  <from>
                    <xdr:col>25</xdr:col>
                    <xdr:colOff>219075</xdr:colOff>
                    <xdr:row>146</xdr:row>
                    <xdr:rowOff>28575</xdr:rowOff>
                  </from>
                  <to>
                    <xdr:col>26</xdr:col>
                    <xdr:colOff>276225</xdr:colOff>
                    <xdr:row>146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27" name="Option Button 383">
              <controlPr defaultSize="0" autoFill="0" autoLine="0" autoPict="0">
                <anchor moveWithCells="1">
                  <from>
                    <xdr:col>25</xdr:col>
                    <xdr:colOff>238125</xdr:colOff>
                    <xdr:row>147</xdr:row>
                    <xdr:rowOff>47625</xdr:rowOff>
                  </from>
                  <to>
                    <xdr:col>27</xdr:col>
                    <xdr:colOff>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8" name="Option Button 384">
              <controlPr defaultSize="0" autoFill="0" autoLine="0" autoPict="0">
                <anchor moveWithCells="1">
                  <from>
                    <xdr:col>21</xdr:col>
                    <xdr:colOff>66675</xdr:colOff>
                    <xdr:row>145</xdr:row>
                    <xdr:rowOff>95250</xdr:rowOff>
                  </from>
                  <to>
                    <xdr:col>22</xdr:col>
                    <xdr:colOff>133350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29" name="Option Button 385">
              <controlPr defaultSize="0" autoFill="0" autoLine="0" autoPict="0">
                <anchor moveWithCells="1">
                  <from>
                    <xdr:col>21</xdr:col>
                    <xdr:colOff>57150</xdr:colOff>
                    <xdr:row>146</xdr:row>
                    <xdr:rowOff>38100</xdr:rowOff>
                  </from>
                  <to>
                    <xdr:col>22</xdr:col>
                    <xdr:colOff>114300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0" name="Option Button 386">
              <controlPr defaultSize="0" autoFill="0" autoLine="0" autoPict="0">
                <anchor moveWithCells="1">
                  <from>
                    <xdr:col>21</xdr:col>
                    <xdr:colOff>66675</xdr:colOff>
                    <xdr:row>147</xdr:row>
                    <xdr:rowOff>66675</xdr:rowOff>
                  </from>
                  <to>
                    <xdr:col>22</xdr:col>
                    <xdr:colOff>133350</xdr:colOff>
                    <xdr:row>147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1" name="Option Button 387">
              <controlPr defaultSize="0" autoFill="0" autoLine="0" autoPict="0">
                <anchor moveWithCells="1">
                  <from>
                    <xdr:col>17</xdr:col>
                    <xdr:colOff>85725</xdr:colOff>
                    <xdr:row>145</xdr:row>
                    <xdr:rowOff>76200</xdr:rowOff>
                  </from>
                  <to>
                    <xdr:col>18</xdr:col>
                    <xdr:colOff>142875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2" name="Option Button 388">
              <controlPr defaultSize="0" autoFill="0" autoLine="0" autoPict="0">
                <anchor moveWithCells="1">
                  <from>
                    <xdr:col>17</xdr:col>
                    <xdr:colOff>85725</xdr:colOff>
                    <xdr:row>146</xdr:row>
                    <xdr:rowOff>38100</xdr:rowOff>
                  </from>
                  <to>
                    <xdr:col>18</xdr:col>
                    <xdr:colOff>142875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3" name="Option Button 389">
              <controlPr defaultSize="0" autoFill="0" autoLine="0" autoPict="0">
                <anchor moveWithCells="1">
                  <from>
                    <xdr:col>17</xdr:col>
                    <xdr:colOff>95250</xdr:colOff>
                    <xdr:row>147</xdr:row>
                    <xdr:rowOff>66675</xdr:rowOff>
                  </from>
                  <to>
                    <xdr:col>18</xdr:col>
                    <xdr:colOff>152400</xdr:colOff>
                    <xdr:row>147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4" name="Group Box 391">
              <controlPr locked="0" defaultSize="0" autoFill="0" autoPict="0">
                <anchor moveWithCells="1">
                  <from>
                    <xdr:col>1</xdr:col>
                    <xdr:colOff>19050</xdr:colOff>
                    <xdr:row>155</xdr:row>
                    <xdr:rowOff>19050</xdr:rowOff>
                  </from>
                  <to>
                    <xdr:col>8</xdr:col>
                    <xdr:colOff>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" name="Option Button 392">
              <controlPr defaultSize="0" autoFill="0" autoLine="0" autoPict="0">
                <anchor moveWithCells="1">
                  <from>
                    <xdr:col>1</xdr:col>
                    <xdr:colOff>257175</xdr:colOff>
                    <xdr:row>155</xdr:row>
                    <xdr:rowOff>47625</xdr:rowOff>
                  </from>
                  <to>
                    <xdr:col>3</xdr:col>
                    <xdr:colOff>171450</xdr:colOff>
                    <xdr:row>156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6" name="Option Button 393">
              <controlPr defaultSize="0" autoFill="0" autoLine="0" autoPict="0">
                <anchor moveWithCells="1">
                  <from>
                    <xdr:col>3</xdr:col>
                    <xdr:colOff>171450</xdr:colOff>
                    <xdr:row>155</xdr:row>
                    <xdr:rowOff>38100</xdr:rowOff>
                  </from>
                  <to>
                    <xdr:col>7</xdr:col>
                    <xdr:colOff>57150</xdr:colOff>
                    <xdr:row>156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7" name="Group Box 395">
              <controlPr locked="0" defaultSize="0" autoFill="0" autoPict="0">
                <anchor moveWithCells="1">
                  <from>
                    <xdr:col>0</xdr:col>
                    <xdr:colOff>247650</xdr:colOff>
                    <xdr:row>158</xdr:row>
                    <xdr:rowOff>152400</xdr:rowOff>
                  </from>
                  <to>
                    <xdr:col>8</xdr:col>
                    <xdr:colOff>19050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" name="Option Button 396">
              <controlPr defaultSize="0" autoFill="0" autoLine="0" autoPict="0">
                <anchor moveWithCells="1">
                  <from>
                    <xdr:col>1</xdr:col>
                    <xdr:colOff>247650</xdr:colOff>
                    <xdr:row>159</xdr:row>
                    <xdr:rowOff>19050</xdr:rowOff>
                  </from>
                  <to>
                    <xdr:col>3</xdr:col>
                    <xdr:colOff>95250</xdr:colOff>
                    <xdr:row>160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9" name="Option Button 397">
              <controlPr defaultSize="0" autoFill="0" autoLine="0" autoPict="0">
                <anchor moveWithCells="1">
                  <from>
                    <xdr:col>3</xdr:col>
                    <xdr:colOff>180975</xdr:colOff>
                    <xdr:row>159</xdr:row>
                    <xdr:rowOff>19050</xdr:rowOff>
                  </from>
                  <to>
                    <xdr:col>5</xdr:col>
                    <xdr:colOff>47625</xdr:colOff>
                    <xdr:row>160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" name="Group Box 405">
              <controlPr locked="0" defaultSize="0" print="0" autoFill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21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" name="Option Button 410">
              <controlPr defaultSize="0" autoFill="0" autoLine="0" autoPict="0">
                <anchor moveWithCells="1">
                  <from>
                    <xdr:col>11</xdr:col>
                    <xdr:colOff>133350</xdr:colOff>
                    <xdr:row>25</xdr:row>
                    <xdr:rowOff>57150</xdr:rowOff>
                  </from>
                  <to>
                    <xdr:col>13</xdr:col>
                    <xdr:colOff>95250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2" name="Option Button 411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76200</xdr:rowOff>
                  </from>
                  <to>
                    <xdr:col>15</xdr:col>
                    <xdr:colOff>171450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4" r:id="rId43" name="Option Button 1996">
              <controlPr defaultSize="0" autoFill="0" autoLine="0" autoPict="0" altText="ed:erstmalige Durchführung">
                <anchor moveWithCells="1">
                  <from>
                    <xdr:col>9</xdr:col>
                    <xdr:colOff>19050</xdr:colOff>
                    <xdr:row>32</xdr:row>
                    <xdr:rowOff>104775</xdr:rowOff>
                  </from>
                  <to>
                    <xdr:col>21</xdr:col>
                    <xdr:colOff>114300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5" r:id="rId44" name="Group Box 2007">
              <controlPr defaultSize="0" autoFill="0" autoPict="0">
                <anchor moveWithCells="1">
                  <from>
                    <xdr:col>1</xdr:col>
                    <xdr:colOff>9525</xdr:colOff>
                    <xdr:row>23</xdr:row>
                    <xdr:rowOff>161925</xdr:rowOff>
                  </from>
                  <to>
                    <xdr:col>20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8" r:id="rId45" name="Option Button 2010">
              <controlPr defaultSize="0" autoFill="0" autoLine="0" autoPict="0" altText="ed:erstmalige Durchführung">
                <anchor moveWithCells="1">
                  <from>
                    <xdr:col>15</xdr:col>
                    <xdr:colOff>47625</xdr:colOff>
                    <xdr:row>32</xdr:row>
                    <xdr:rowOff>85725</xdr:rowOff>
                  </from>
                  <to>
                    <xdr:col>21</xdr:col>
                    <xdr:colOff>9525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9" r:id="rId46" name="Group Box 2011">
              <controlPr locked="0" defaultSize="0" print="0" autoFill="0" autoPict="0">
                <anchor moveWithCells="1">
                  <from>
                    <xdr:col>9</xdr:col>
                    <xdr:colOff>19050</xdr:colOff>
                    <xdr:row>32</xdr:row>
                    <xdr:rowOff>9525</xdr:rowOff>
                  </from>
                  <to>
                    <xdr:col>22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5"/>
  <dimension ref="A1:F14"/>
  <sheetViews>
    <sheetView topLeftCell="B1" workbookViewId="0">
      <selection activeCell="D4" sqref="D4"/>
    </sheetView>
  </sheetViews>
  <sheetFormatPr baseColWidth="10" defaultRowHeight="12.75" x14ac:dyDescent="0.2"/>
  <cols>
    <col min="1" max="1" width="50.28515625" customWidth="1"/>
    <col min="2" max="2" width="32.28515625" customWidth="1"/>
    <col min="3" max="3" width="50.28515625" customWidth="1"/>
    <col min="4" max="4" width="42.42578125" customWidth="1"/>
    <col min="5" max="5" width="38.42578125" customWidth="1"/>
    <col min="6" max="6" width="15.42578125" customWidth="1"/>
  </cols>
  <sheetData>
    <row r="1" spans="1:6" x14ac:dyDescent="0.2">
      <c r="A1" s="4" t="s">
        <v>289</v>
      </c>
      <c r="B1" s="4" t="s">
        <v>283</v>
      </c>
      <c r="C1" s="4" t="s">
        <v>284</v>
      </c>
      <c r="D1" s="4" t="s">
        <v>285</v>
      </c>
      <c r="E1" s="4" t="s">
        <v>286</v>
      </c>
      <c r="F1" s="4" t="s">
        <v>617</v>
      </c>
    </row>
    <row r="2" spans="1:6" x14ac:dyDescent="0.2">
      <c r="A2" t="str">
        <f t="shared" ref="A2:A7" ca="1" si="0">IF(OFFSET(A2,0,Pachseauswahl) = 0,"Bitte auswählen",OFFSET(A2,0,Pachseauswahl))</f>
        <v>Bitte auswählen</v>
      </c>
      <c r="B2" t="s">
        <v>680</v>
      </c>
      <c r="F2" s="3" t="s">
        <v>680</v>
      </c>
    </row>
    <row r="3" spans="1:6" x14ac:dyDescent="0.2">
      <c r="A3" t="str">
        <f t="shared" ca="1" si="0"/>
        <v>h) Förderung der aktiven Inklusion…</v>
      </c>
      <c r="B3" s="367" t="s">
        <v>680</v>
      </c>
      <c r="C3" s="218" t="s">
        <v>968</v>
      </c>
      <c r="D3" s="218"/>
      <c r="E3" s="217"/>
      <c r="F3" s="218" t="s">
        <v>968</v>
      </c>
    </row>
    <row r="4" spans="1:6" x14ac:dyDescent="0.2">
      <c r="A4" t="str">
        <f t="shared" ca="1" si="0"/>
        <v>Bitte auswählen</v>
      </c>
      <c r="B4" s="367" t="s">
        <v>680</v>
      </c>
      <c r="C4" s="218"/>
      <c r="D4" s="218"/>
      <c r="E4" s="217"/>
      <c r="F4" s="218"/>
    </row>
    <row r="5" spans="1:6" x14ac:dyDescent="0.2">
      <c r="A5" t="str">
        <f t="shared" ca="1" si="0"/>
        <v>Bitte auswählen</v>
      </c>
      <c r="B5" s="367" t="s">
        <v>680</v>
      </c>
      <c r="C5" s="20"/>
      <c r="D5" s="20"/>
      <c r="E5" s="217"/>
      <c r="F5" s="218"/>
    </row>
    <row r="6" spans="1:6" x14ac:dyDescent="0.2">
      <c r="A6" t="str">
        <f t="shared" ca="1" si="0"/>
        <v>Bitte auswählen</v>
      </c>
      <c r="B6" s="367" t="s">
        <v>680</v>
      </c>
      <c r="C6" s="20"/>
      <c r="D6" s="20"/>
      <c r="E6" s="217"/>
      <c r="F6" s="218"/>
    </row>
    <row r="7" spans="1:6" x14ac:dyDescent="0.2">
      <c r="A7" t="str">
        <f t="shared" ca="1" si="0"/>
        <v>Bitte auswählen</v>
      </c>
      <c r="C7" s="20"/>
      <c r="D7" s="20"/>
    </row>
    <row r="8" spans="1:6" x14ac:dyDescent="0.2">
      <c r="F8" s="20"/>
    </row>
    <row r="9" spans="1:6" x14ac:dyDescent="0.2">
      <c r="F9" s="218"/>
    </row>
    <row r="10" spans="1:6" x14ac:dyDescent="0.2">
      <c r="F10" s="20"/>
    </row>
    <row r="11" spans="1:6" x14ac:dyDescent="0.2">
      <c r="F11" s="20"/>
    </row>
    <row r="14" spans="1:6" x14ac:dyDescent="0.2">
      <c r="F14" s="217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6"/>
  <dimension ref="A1:T23"/>
  <sheetViews>
    <sheetView topLeftCell="P1" workbookViewId="0">
      <selection activeCell="R8" sqref="R8"/>
    </sheetView>
  </sheetViews>
  <sheetFormatPr baseColWidth="10" defaultRowHeight="12.75" x14ac:dyDescent="0.2"/>
  <cols>
    <col min="1" max="1" width="30.42578125" customWidth="1"/>
    <col min="2" max="2" width="30.140625" bestFit="1" customWidth="1"/>
    <col min="3" max="3" width="11.7109375" customWidth="1"/>
    <col min="5" max="5" width="11.85546875" customWidth="1"/>
    <col min="6" max="6" width="13.7109375" customWidth="1"/>
    <col min="7" max="9" width="10.85546875" customWidth="1"/>
    <col min="10" max="10" width="11.28515625" customWidth="1"/>
    <col min="11" max="12" width="11.7109375" customWidth="1"/>
    <col min="13" max="14" width="12" customWidth="1"/>
    <col min="15" max="15" width="33.5703125" customWidth="1"/>
    <col min="16" max="16" width="12" customWidth="1"/>
    <col min="17" max="18" width="27" customWidth="1"/>
    <col min="19" max="19" width="50.85546875" bestFit="1" customWidth="1"/>
  </cols>
  <sheetData>
    <row r="1" spans="1:20" x14ac:dyDescent="0.2">
      <c r="A1" s="4" t="s">
        <v>282</v>
      </c>
      <c r="B1" s="4" t="s">
        <v>608</v>
      </c>
      <c r="C1" s="4" t="s">
        <v>595</v>
      </c>
      <c r="D1" s="4" t="s">
        <v>596</v>
      </c>
      <c r="E1" s="4" t="s">
        <v>597</v>
      </c>
      <c r="F1" s="4" t="s">
        <v>598</v>
      </c>
      <c r="G1" s="4" t="s">
        <v>599</v>
      </c>
      <c r="H1" s="4" t="s">
        <v>600</v>
      </c>
      <c r="I1" s="4" t="s">
        <v>601</v>
      </c>
      <c r="J1" s="4" t="s">
        <v>602</v>
      </c>
      <c r="K1" s="4" t="s">
        <v>603</v>
      </c>
      <c r="L1" s="4" t="s">
        <v>604</v>
      </c>
      <c r="M1" s="4" t="s">
        <v>605</v>
      </c>
      <c r="N1" s="4" t="s">
        <v>606</v>
      </c>
      <c r="O1" s="4" t="s">
        <v>607</v>
      </c>
      <c r="P1" s="4" t="s">
        <v>755</v>
      </c>
      <c r="Q1" s="4" t="s">
        <v>617</v>
      </c>
      <c r="S1" s="4"/>
      <c r="T1" s="4"/>
    </row>
    <row r="2" spans="1:20" x14ac:dyDescent="0.2">
      <c r="A2" t="str">
        <f t="shared" ref="A2:A7" ca="1" si="0">IF(OFFSET(A2,0,FAnsatzlisteVersatz) = 0,"Bitte auswählen",OFFSET(A2,0,FAnsatzlisteVersatz))</f>
        <v>Bitte auswählen</v>
      </c>
      <c r="B2" s="217" t="s">
        <v>924</v>
      </c>
      <c r="Q2" t="s">
        <v>680</v>
      </c>
    </row>
    <row r="3" spans="1:20" x14ac:dyDescent="0.2">
      <c r="A3" t="str">
        <f t="shared" ca="1" si="0"/>
        <v>Frauen aktiv in die Zukunft</v>
      </c>
      <c r="B3" s="217" t="s">
        <v>924</v>
      </c>
      <c r="C3" s="217" t="s">
        <v>969</v>
      </c>
      <c r="D3" s="217"/>
      <c r="H3" s="217"/>
      <c r="I3" s="217"/>
      <c r="J3" s="217"/>
      <c r="K3" s="217"/>
      <c r="N3" s="217"/>
      <c r="O3" s="217"/>
      <c r="P3" s="217"/>
      <c r="Q3" s="217" t="s">
        <v>969</v>
      </c>
      <c r="S3" s="9"/>
    </row>
    <row r="4" spans="1:20" x14ac:dyDescent="0.2">
      <c r="A4" t="str">
        <f t="shared" ca="1" si="0"/>
        <v>Bitte auswählen</v>
      </c>
      <c r="B4" s="217" t="s">
        <v>924</v>
      </c>
      <c r="C4" s="217"/>
      <c r="D4" s="217"/>
      <c r="E4" s="217"/>
      <c r="I4" s="231"/>
      <c r="J4" s="9"/>
      <c r="K4" s="9"/>
      <c r="L4" s="9"/>
      <c r="M4" s="217"/>
      <c r="N4" s="217"/>
      <c r="O4" s="217"/>
      <c r="P4" s="217"/>
      <c r="S4" s="9"/>
    </row>
    <row r="5" spans="1:20" x14ac:dyDescent="0.2">
      <c r="A5" t="str">
        <f t="shared" ca="1" si="0"/>
        <v>Bitte auswählen</v>
      </c>
      <c r="B5" s="217" t="s">
        <v>924</v>
      </c>
      <c r="C5" s="217"/>
      <c r="D5" s="217"/>
      <c r="E5" s="217"/>
      <c r="J5" s="231"/>
      <c r="K5" s="9"/>
      <c r="L5" s="9"/>
      <c r="O5" s="217"/>
      <c r="Q5" s="344"/>
      <c r="T5" s="9"/>
    </row>
    <row r="6" spans="1:20" x14ac:dyDescent="0.2">
      <c r="A6" t="str">
        <f t="shared" ca="1" si="0"/>
        <v>Bitte auswählen</v>
      </c>
      <c r="B6" s="217" t="s">
        <v>924</v>
      </c>
      <c r="C6" s="217"/>
      <c r="D6" s="217"/>
      <c r="E6" s="217"/>
      <c r="I6" s="9"/>
      <c r="J6" s="231"/>
      <c r="K6" s="9"/>
      <c r="L6" s="9"/>
      <c r="O6" s="217"/>
      <c r="P6" s="217"/>
      <c r="Q6" s="369"/>
    </row>
    <row r="7" spans="1:20" x14ac:dyDescent="0.2">
      <c r="A7" t="str">
        <f t="shared" ca="1" si="0"/>
        <v>Bitte auswählen</v>
      </c>
      <c r="B7" s="217" t="s">
        <v>924</v>
      </c>
      <c r="D7" s="217"/>
      <c r="E7" s="217"/>
      <c r="I7" s="9"/>
      <c r="K7" s="9"/>
      <c r="L7" s="9"/>
      <c r="M7" s="217"/>
      <c r="N7" s="217"/>
      <c r="O7" s="217"/>
      <c r="Q7" s="217"/>
    </row>
    <row r="8" spans="1:20" x14ac:dyDescent="0.2">
      <c r="I8" s="9"/>
      <c r="K8" s="9"/>
      <c r="L8" s="9"/>
      <c r="M8" s="217"/>
      <c r="N8" s="217"/>
    </row>
    <row r="9" spans="1:20" x14ac:dyDescent="0.2">
      <c r="Q9" s="217"/>
    </row>
    <row r="10" spans="1:20" x14ac:dyDescent="0.2">
      <c r="Q10" s="217"/>
    </row>
    <row r="11" spans="1:20" x14ac:dyDescent="0.2">
      <c r="Q11" s="6"/>
    </row>
    <row r="12" spans="1:20" x14ac:dyDescent="0.2">
      <c r="Q12" s="217"/>
    </row>
    <row r="13" spans="1:20" x14ac:dyDescent="0.2">
      <c r="A13">
        <f>IF(ISERROR(MATCH("Auswahl"&amp;Pachseauswahl&amp;Aktionauswahl,FAnsatzAuswahlen,0)),1,MATCH("Auswahl"&amp;Pachseauswahl&amp;Aktionauswahl,FAnsatzAuswahlen,0)-1)</f>
        <v>2</v>
      </c>
      <c r="T13" s="6"/>
    </row>
    <row r="14" spans="1:20" x14ac:dyDescent="0.2">
      <c r="T14" s="9"/>
    </row>
    <row r="15" spans="1:20" x14ac:dyDescent="0.2">
      <c r="T15" s="9"/>
    </row>
    <row r="16" spans="1:20" x14ac:dyDescent="0.2">
      <c r="T16" s="9"/>
    </row>
    <row r="17" spans="17:20" x14ac:dyDescent="0.2">
      <c r="T17" s="9"/>
    </row>
    <row r="18" spans="17:20" x14ac:dyDescent="0.2">
      <c r="T18" s="9"/>
    </row>
    <row r="20" spans="17:20" x14ac:dyDescent="0.2">
      <c r="T20" s="9"/>
    </row>
    <row r="21" spans="17:20" x14ac:dyDescent="0.2">
      <c r="Q21" s="231"/>
    </row>
    <row r="22" spans="17:20" x14ac:dyDescent="0.2">
      <c r="Q22" s="217"/>
    </row>
    <row r="23" spans="17:20" x14ac:dyDescent="0.2">
      <c r="Q23" s="217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5"/>
  <dimension ref="A1:X7"/>
  <sheetViews>
    <sheetView workbookViewId="0">
      <selection activeCell="G3" sqref="G3"/>
    </sheetView>
  </sheetViews>
  <sheetFormatPr baseColWidth="10" defaultRowHeight="12.75" x14ac:dyDescent="0.2"/>
  <cols>
    <col min="2" max="2" width="30.7109375" customWidth="1"/>
  </cols>
  <sheetData>
    <row r="1" spans="1:24" x14ac:dyDescent="0.2">
      <c r="A1" s="4" t="s">
        <v>681</v>
      </c>
      <c r="B1" s="4" t="s">
        <v>608</v>
      </c>
      <c r="C1" s="4" t="s">
        <v>684</v>
      </c>
      <c r="D1" s="4" t="s">
        <v>685</v>
      </c>
      <c r="E1" s="4" t="s">
        <v>689</v>
      </c>
      <c r="F1" s="4" t="s">
        <v>686</v>
      </c>
      <c r="G1" s="4" t="s">
        <v>687</v>
      </c>
      <c r="H1" s="4" t="s">
        <v>711</v>
      </c>
      <c r="I1" s="4" t="s">
        <v>690</v>
      </c>
      <c r="J1" s="4" t="s">
        <v>713</v>
      </c>
      <c r="K1" s="4" t="s">
        <v>714</v>
      </c>
      <c r="L1" s="4" t="s">
        <v>715</v>
      </c>
      <c r="M1" s="4" t="s">
        <v>716</v>
      </c>
      <c r="N1" s="4" t="s">
        <v>717</v>
      </c>
      <c r="O1" s="4" t="s">
        <v>691</v>
      </c>
      <c r="P1" s="4" t="s">
        <v>718</v>
      </c>
      <c r="Q1" s="4" t="s">
        <v>719</v>
      </c>
      <c r="R1" s="4" t="s">
        <v>720</v>
      </c>
      <c r="S1" s="4" t="s">
        <v>688</v>
      </c>
      <c r="T1" s="4" t="s">
        <v>721</v>
      </c>
      <c r="U1" s="4" t="s">
        <v>722</v>
      </c>
      <c r="V1" s="4" t="s">
        <v>775</v>
      </c>
      <c r="W1" s="4" t="s">
        <v>776</v>
      </c>
      <c r="X1" s="4" t="s">
        <v>617</v>
      </c>
    </row>
    <row r="2" spans="1:24" x14ac:dyDescent="0.2">
      <c r="A2" t="str">
        <f t="shared" ref="A2:A7" ca="1" si="0">IF(OFFSET(A2,0,Plstgansatzlisteversatz) = 0,"Bitte auswählen",OFFSET(A2,0,Plstgansatzlisteversatz))</f>
        <v>Bitte auswählen</v>
      </c>
      <c r="B2" t="s">
        <v>287</v>
      </c>
      <c r="X2" t="s">
        <v>680</v>
      </c>
    </row>
    <row r="3" spans="1:24" x14ac:dyDescent="0.2">
      <c r="A3" t="str">
        <f t="shared" ca="1" si="0"/>
        <v>Qualifizierung</v>
      </c>
      <c r="B3" t="s">
        <v>287</v>
      </c>
      <c r="C3" s="217" t="s">
        <v>682</v>
      </c>
      <c r="D3" t="s">
        <v>683</v>
      </c>
      <c r="E3" t="s">
        <v>683</v>
      </c>
      <c r="F3" t="s">
        <v>683</v>
      </c>
      <c r="G3" s="217" t="s">
        <v>725</v>
      </c>
      <c r="H3" s="217" t="s">
        <v>712</v>
      </c>
      <c r="I3" s="217" t="s">
        <v>682</v>
      </c>
      <c r="J3" s="9" t="s">
        <v>682</v>
      </c>
      <c r="K3" s="9" t="s">
        <v>682</v>
      </c>
      <c r="L3" s="9" t="s">
        <v>682</v>
      </c>
      <c r="M3" s="9" t="s">
        <v>682</v>
      </c>
      <c r="N3" s="9" t="s">
        <v>682</v>
      </c>
      <c r="O3" s="9" t="s">
        <v>682</v>
      </c>
      <c r="P3" s="9" t="s">
        <v>682</v>
      </c>
      <c r="Q3" s="9" t="s">
        <v>682</v>
      </c>
      <c r="R3" s="217" t="s">
        <v>682</v>
      </c>
      <c r="S3" s="247" t="s">
        <v>682</v>
      </c>
      <c r="T3" s="231" t="s">
        <v>682</v>
      </c>
      <c r="U3" s="231" t="s">
        <v>682</v>
      </c>
      <c r="V3" s="231" t="s">
        <v>682</v>
      </c>
      <c r="W3" s="231" t="s">
        <v>682</v>
      </c>
      <c r="X3" t="s">
        <v>683</v>
      </c>
    </row>
    <row r="4" spans="1:24" x14ac:dyDescent="0.2">
      <c r="A4" t="str">
        <f t="shared" ca="1" si="0"/>
        <v>Bitte auswählen</v>
      </c>
      <c r="B4" t="s">
        <v>287</v>
      </c>
      <c r="C4" s="217"/>
      <c r="F4" s="217"/>
      <c r="G4" s="217"/>
      <c r="H4" s="217"/>
      <c r="J4" s="9"/>
      <c r="K4" s="9"/>
      <c r="L4" s="9"/>
      <c r="M4" s="9"/>
      <c r="N4" s="9"/>
      <c r="O4" s="9"/>
      <c r="P4" s="9"/>
      <c r="Q4" s="9"/>
      <c r="T4" s="231"/>
      <c r="U4" s="231"/>
      <c r="V4" s="231"/>
      <c r="W4" s="231"/>
      <c r="X4" t="s">
        <v>682</v>
      </c>
    </row>
    <row r="5" spans="1:24" x14ac:dyDescent="0.2">
      <c r="A5" t="str">
        <f t="shared" ca="1" si="0"/>
        <v>Bitte auswählen</v>
      </c>
      <c r="B5" t="s">
        <v>287</v>
      </c>
      <c r="J5" s="9"/>
      <c r="K5" s="9"/>
      <c r="L5" s="9"/>
      <c r="M5" s="9"/>
      <c r="N5" s="9"/>
      <c r="O5" s="9"/>
      <c r="P5" s="9"/>
      <c r="Q5" s="9"/>
      <c r="X5" s="217" t="s">
        <v>705</v>
      </c>
    </row>
    <row r="6" spans="1:24" x14ac:dyDescent="0.2">
      <c r="A6" t="str">
        <f t="shared" ca="1" si="0"/>
        <v>Bitte auswählen</v>
      </c>
      <c r="B6" t="s">
        <v>287</v>
      </c>
      <c r="J6" s="9"/>
      <c r="K6" s="9"/>
      <c r="L6" s="9"/>
      <c r="M6" s="9"/>
      <c r="N6" s="9"/>
      <c r="O6" s="9"/>
      <c r="P6" s="9"/>
      <c r="Q6" s="9"/>
      <c r="X6" s="217" t="s">
        <v>706</v>
      </c>
    </row>
    <row r="7" spans="1:24" x14ac:dyDescent="0.2">
      <c r="A7" t="str">
        <f t="shared" ca="1" si="0"/>
        <v>Bitte auswählen</v>
      </c>
      <c r="B7" t="s">
        <v>287</v>
      </c>
      <c r="J7" s="9"/>
      <c r="K7" s="9"/>
      <c r="L7" s="9"/>
      <c r="M7" s="9"/>
      <c r="N7" s="9"/>
      <c r="O7" s="9"/>
      <c r="P7" s="9"/>
      <c r="Q7" s="9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A15"/>
  <sheetViews>
    <sheetView workbookViewId="0">
      <selection activeCell="A2" sqref="A2"/>
    </sheetView>
  </sheetViews>
  <sheetFormatPr baseColWidth="10" defaultRowHeight="12.75" x14ac:dyDescent="0.2"/>
  <cols>
    <col min="1" max="1" width="65.7109375" customWidth="1"/>
  </cols>
  <sheetData>
    <row r="1" spans="1:1" x14ac:dyDescent="0.2">
      <c r="A1" s="6" t="s">
        <v>680</v>
      </c>
    </row>
    <row r="2" spans="1:1" x14ac:dyDescent="0.2">
      <c r="A2" s="374" t="s">
        <v>988</v>
      </c>
    </row>
    <row r="3" spans="1:1" x14ac:dyDescent="0.2">
      <c r="A3" s="374"/>
    </row>
    <row r="4" spans="1:1" x14ac:dyDescent="0.2">
      <c r="A4" s="374"/>
    </row>
    <row r="5" spans="1:1" x14ac:dyDescent="0.2">
      <c r="A5" s="374"/>
    </row>
    <row r="6" spans="1:1" x14ac:dyDescent="0.2">
      <c r="A6" s="374"/>
    </row>
    <row r="7" spans="1:1" x14ac:dyDescent="0.2">
      <c r="A7" s="230"/>
    </row>
    <row r="8" spans="1:1" x14ac:dyDescent="0.2">
      <c r="A8" s="253"/>
    </row>
    <row r="9" spans="1:1" x14ac:dyDescent="0.2">
      <c r="A9" s="253"/>
    </row>
    <row r="10" spans="1:1" x14ac:dyDescent="0.2">
      <c r="A10" s="253"/>
    </row>
    <row r="11" spans="1:1" x14ac:dyDescent="0.2">
      <c r="A11" s="253"/>
    </row>
    <row r="12" spans="1:1" x14ac:dyDescent="0.2">
      <c r="A12" s="253"/>
    </row>
    <row r="13" spans="1:1" x14ac:dyDescent="0.2">
      <c r="A13" s="253"/>
    </row>
    <row r="15" spans="1:1" x14ac:dyDescent="0.2">
      <c r="A15" s="6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/>
  <dimension ref="A2:A3"/>
  <sheetViews>
    <sheetView workbookViewId="0">
      <selection activeCell="A2" sqref="A2:A3"/>
    </sheetView>
  </sheetViews>
  <sheetFormatPr baseColWidth="10" defaultRowHeight="12.75" x14ac:dyDescent="0.2"/>
  <sheetData>
    <row r="2" spans="1:1" x14ac:dyDescent="0.2">
      <c r="A2" t="s">
        <v>699</v>
      </c>
    </row>
    <row r="3" spans="1:1" x14ac:dyDescent="0.2">
      <c r="A3" t="s">
        <v>698</v>
      </c>
    </row>
  </sheetData>
  <phoneticPr fontId="30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/>
  <dimension ref="A2:A11"/>
  <sheetViews>
    <sheetView workbookViewId="0">
      <selection activeCell="A6" sqref="A6"/>
    </sheetView>
  </sheetViews>
  <sheetFormatPr baseColWidth="10" defaultRowHeight="12.75" x14ac:dyDescent="0.2"/>
  <sheetData>
    <row r="2" spans="1:1" x14ac:dyDescent="0.2">
      <c r="A2" s="10" t="s">
        <v>140</v>
      </c>
    </row>
    <row r="3" spans="1:1" x14ac:dyDescent="0.2">
      <c r="A3" s="258" t="s">
        <v>961</v>
      </c>
    </row>
    <row r="4" spans="1:1" x14ac:dyDescent="0.2">
      <c r="A4" s="258" t="s">
        <v>949</v>
      </c>
    </row>
    <row r="5" spans="1:1" x14ac:dyDescent="0.2">
      <c r="A5" s="258" t="s">
        <v>950</v>
      </c>
    </row>
    <row r="6" spans="1:1" x14ac:dyDescent="0.2">
      <c r="A6" s="258" t="s">
        <v>952</v>
      </c>
    </row>
    <row r="7" spans="1:1" x14ac:dyDescent="0.2">
      <c r="A7" s="258" t="s">
        <v>951</v>
      </c>
    </row>
    <row r="8" spans="1:1" x14ac:dyDescent="0.2">
      <c r="A8" s="258" t="s">
        <v>820</v>
      </c>
    </row>
    <row r="9" spans="1:1" x14ac:dyDescent="0.2">
      <c r="A9" s="15" t="s">
        <v>702</v>
      </c>
    </row>
    <row r="10" spans="1:1" x14ac:dyDescent="0.2">
      <c r="A10" s="226" t="s">
        <v>701</v>
      </c>
    </row>
    <row r="11" spans="1:1" x14ac:dyDescent="0.2">
      <c r="A11" s="226" t="s">
        <v>35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B184"/>
  <sheetViews>
    <sheetView topLeftCell="A10" workbookViewId="0">
      <selection activeCell="B31" sqref="B31"/>
    </sheetView>
  </sheetViews>
  <sheetFormatPr baseColWidth="10" defaultRowHeight="12.75" x14ac:dyDescent="0.2"/>
  <cols>
    <col min="1" max="1" width="29" style="125" customWidth="1"/>
    <col min="2" max="2" width="34.7109375" style="125" customWidth="1"/>
  </cols>
  <sheetData>
    <row r="1" spans="1:2" x14ac:dyDescent="0.2">
      <c r="A1" s="124" t="s">
        <v>302</v>
      </c>
      <c r="B1" s="124" t="s">
        <v>397</v>
      </c>
    </row>
    <row r="2" spans="1:2" x14ac:dyDescent="0.2">
      <c r="A2" s="124" t="s">
        <v>398</v>
      </c>
      <c r="B2" s="124" t="s">
        <v>399</v>
      </c>
    </row>
    <row r="3" spans="1:2" x14ac:dyDescent="0.2">
      <c r="A3" s="124" t="s">
        <v>400</v>
      </c>
      <c r="B3" s="124" t="s">
        <v>401</v>
      </c>
    </row>
    <row r="4" spans="1:2" x14ac:dyDescent="0.2">
      <c r="A4" s="124" t="s">
        <v>402</v>
      </c>
      <c r="B4" s="124" t="s">
        <v>403</v>
      </c>
    </row>
    <row r="5" spans="1:2" x14ac:dyDescent="0.2">
      <c r="A5" s="124" t="s">
        <v>404</v>
      </c>
      <c r="B5" s="124" t="s">
        <v>405</v>
      </c>
    </row>
    <row r="6" spans="1:2" x14ac:dyDescent="0.2">
      <c r="A6" s="124" t="s">
        <v>303</v>
      </c>
      <c r="B6" s="124" t="s">
        <v>304</v>
      </c>
    </row>
    <row r="7" spans="1:2" x14ac:dyDescent="0.2">
      <c r="A7" s="124" t="s">
        <v>175</v>
      </c>
      <c r="B7" s="124" t="s">
        <v>406</v>
      </c>
    </row>
    <row r="8" spans="1:2" x14ac:dyDescent="0.2">
      <c r="A8" s="124" t="s">
        <v>300</v>
      </c>
      <c r="B8" s="124" t="s">
        <v>315</v>
      </c>
    </row>
    <row r="9" spans="1:2" x14ac:dyDescent="0.2">
      <c r="A9" s="124" t="s">
        <v>295</v>
      </c>
      <c r="B9" s="124" t="s">
        <v>306</v>
      </c>
    </row>
    <row r="10" spans="1:2" x14ac:dyDescent="0.2">
      <c r="A10" s="124" t="s">
        <v>371</v>
      </c>
      <c r="B10" s="124" t="s">
        <v>407</v>
      </c>
    </row>
    <row r="11" spans="1:2" x14ac:dyDescent="0.2">
      <c r="A11" s="124" t="s">
        <v>370</v>
      </c>
      <c r="B11" s="124" t="s">
        <v>557</v>
      </c>
    </row>
    <row r="12" spans="1:2" x14ac:dyDescent="0.2">
      <c r="A12" s="124" t="s">
        <v>372</v>
      </c>
      <c r="B12" s="124" t="s">
        <v>409</v>
      </c>
    </row>
    <row r="13" spans="1:2" x14ac:dyDescent="0.2">
      <c r="A13" s="124" t="s">
        <v>558</v>
      </c>
      <c r="B13" s="124" t="s">
        <v>559</v>
      </c>
    </row>
    <row r="14" spans="1:2" x14ac:dyDescent="0.2">
      <c r="A14" s="124" t="s">
        <v>555</v>
      </c>
      <c r="B14" s="124" t="s">
        <v>236</v>
      </c>
    </row>
    <row r="15" spans="1:2" x14ac:dyDescent="0.2">
      <c r="A15" s="124" t="s">
        <v>215</v>
      </c>
      <c r="B15" s="124" t="s">
        <v>235</v>
      </c>
    </row>
    <row r="16" spans="1:2" x14ac:dyDescent="0.2">
      <c r="A16" s="124" t="s">
        <v>307</v>
      </c>
      <c r="B16" s="124" t="s">
        <v>410</v>
      </c>
    </row>
    <row r="17" spans="1:2" x14ac:dyDescent="0.2">
      <c r="A17" s="124" t="s">
        <v>308</v>
      </c>
      <c r="B17" s="124" t="s">
        <v>411</v>
      </c>
    </row>
    <row r="18" spans="1:2" x14ac:dyDescent="0.2">
      <c r="A18" s="124" t="s">
        <v>309</v>
      </c>
      <c r="B18" s="124" t="s">
        <v>412</v>
      </c>
    </row>
    <row r="19" spans="1:2" x14ac:dyDescent="0.2">
      <c r="A19" s="124" t="s">
        <v>413</v>
      </c>
      <c r="B19" s="124" t="s">
        <v>414</v>
      </c>
    </row>
    <row r="20" spans="1:2" x14ac:dyDescent="0.2">
      <c r="A20" s="124" t="s">
        <v>310</v>
      </c>
      <c r="B20" s="124" t="s">
        <v>415</v>
      </c>
    </row>
    <row r="21" spans="1:2" x14ac:dyDescent="0.2">
      <c r="A21" s="124" t="s">
        <v>224</v>
      </c>
      <c r="B21" s="124" t="s">
        <v>311</v>
      </c>
    </row>
    <row r="22" spans="1:2" x14ac:dyDescent="0.2">
      <c r="A22" s="124" t="s">
        <v>416</v>
      </c>
      <c r="B22" s="124" t="s">
        <v>417</v>
      </c>
    </row>
    <row r="23" spans="1:2" x14ac:dyDescent="0.2">
      <c r="A23" s="124" t="s">
        <v>418</v>
      </c>
      <c r="B23" s="124" t="s">
        <v>419</v>
      </c>
    </row>
    <row r="24" spans="1:2" x14ac:dyDescent="0.2">
      <c r="A24" s="124" t="s">
        <v>420</v>
      </c>
      <c r="B24" s="124" t="s">
        <v>421</v>
      </c>
    </row>
    <row r="25" spans="1:2" x14ac:dyDescent="0.2">
      <c r="A25" s="124" t="s">
        <v>422</v>
      </c>
      <c r="B25" s="124" t="s">
        <v>423</v>
      </c>
    </row>
    <row r="26" spans="1:2" x14ac:dyDescent="0.2">
      <c r="A26" s="124" t="s">
        <v>560</v>
      </c>
      <c r="B26" s="124" t="s">
        <v>561</v>
      </c>
    </row>
    <row r="27" spans="1:2" x14ac:dyDescent="0.2">
      <c r="A27" s="124" t="s">
        <v>237</v>
      </c>
      <c r="B27" s="124" t="s">
        <v>238</v>
      </c>
    </row>
    <row r="28" spans="1:2" x14ac:dyDescent="0.2">
      <c r="A28" s="124" t="s">
        <v>394</v>
      </c>
      <c r="B28" s="124" t="s">
        <v>562</v>
      </c>
    </row>
    <row r="29" spans="1:2" x14ac:dyDescent="0.2">
      <c r="A29" s="124" t="s">
        <v>424</v>
      </c>
      <c r="B29" s="124" t="s">
        <v>427</v>
      </c>
    </row>
    <row r="30" spans="1:2" x14ac:dyDescent="0.2">
      <c r="A30" s="124" t="s">
        <v>425</v>
      </c>
      <c r="B30" s="124" t="s">
        <v>562</v>
      </c>
    </row>
    <row r="31" spans="1:2" x14ac:dyDescent="0.2">
      <c r="A31" s="124" t="s">
        <v>52</v>
      </c>
      <c r="B31" s="124" t="s">
        <v>312</v>
      </c>
    </row>
    <row r="32" spans="1:2" x14ac:dyDescent="0.2">
      <c r="A32" s="124" t="s">
        <v>542</v>
      </c>
      <c r="B32" s="124" t="s">
        <v>563</v>
      </c>
    </row>
    <row r="33" spans="1:2" x14ac:dyDescent="0.2">
      <c r="A33" s="124" t="s">
        <v>564</v>
      </c>
      <c r="B33" s="124" t="s">
        <v>565</v>
      </c>
    </row>
    <row r="34" spans="1:2" x14ac:dyDescent="0.2">
      <c r="A34" s="124" t="s">
        <v>566</v>
      </c>
      <c r="B34" s="124" t="s">
        <v>567</v>
      </c>
    </row>
    <row r="35" spans="1:2" x14ac:dyDescent="0.2">
      <c r="A35" s="124" t="s">
        <v>568</v>
      </c>
      <c r="B35" s="124" t="s">
        <v>569</v>
      </c>
    </row>
    <row r="36" spans="1:2" x14ac:dyDescent="0.2">
      <c r="A36" s="124" t="s">
        <v>543</v>
      </c>
      <c r="B36" s="124" t="s">
        <v>544</v>
      </c>
    </row>
    <row r="37" spans="1:2" x14ac:dyDescent="0.2">
      <c r="A37" s="124" t="s">
        <v>426</v>
      </c>
      <c r="B37" s="124" t="s">
        <v>524</v>
      </c>
    </row>
    <row r="38" spans="1:2" x14ac:dyDescent="0.2">
      <c r="A38" s="124" t="s">
        <v>428</v>
      </c>
      <c r="B38" s="124" t="s">
        <v>545</v>
      </c>
    </row>
    <row r="39" spans="1:2" x14ac:dyDescent="0.2">
      <c r="A39" s="124" t="s">
        <v>359</v>
      </c>
      <c r="B39" s="124" t="s">
        <v>590</v>
      </c>
    </row>
    <row r="40" spans="1:2" x14ac:dyDescent="0.2">
      <c r="A40" s="124" t="s">
        <v>541</v>
      </c>
      <c r="B40" s="124" t="s">
        <v>546</v>
      </c>
    </row>
    <row r="41" spans="1:2" x14ac:dyDescent="0.2">
      <c r="A41" s="124" t="s">
        <v>267</v>
      </c>
      <c r="B41" s="124" t="s">
        <v>313</v>
      </c>
    </row>
    <row r="42" spans="1:2" x14ac:dyDescent="0.2">
      <c r="A42" s="124" t="s">
        <v>239</v>
      </c>
      <c r="B42" s="124" t="s">
        <v>430</v>
      </c>
    </row>
    <row r="43" spans="1:2" x14ac:dyDescent="0.2">
      <c r="A43" s="124" t="s">
        <v>240</v>
      </c>
      <c r="B43" s="124" t="s">
        <v>335</v>
      </c>
    </row>
    <row r="44" spans="1:2" x14ac:dyDescent="0.2">
      <c r="A44" s="124" t="s">
        <v>242</v>
      </c>
      <c r="B44" s="124" t="s">
        <v>431</v>
      </c>
    </row>
    <row r="45" spans="1:2" x14ac:dyDescent="0.2">
      <c r="A45" s="124" t="s">
        <v>432</v>
      </c>
      <c r="B45" s="124" t="s">
        <v>433</v>
      </c>
    </row>
    <row r="46" spans="1:2" x14ac:dyDescent="0.2">
      <c r="A46" s="124" t="s">
        <v>165</v>
      </c>
      <c r="B46" s="124" t="s">
        <v>434</v>
      </c>
    </row>
    <row r="47" spans="1:2" x14ac:dyDescent="0.2">
      <c r="A47" s="124" t="s">
        <v>435</v>
      </c>
      <c r="B47" s="124" t="s">
        <v>436</v>
      </c>
    </row>
    <row r="48" spans="1:2" x14ac:dyDescent="0.2">
      <c r="A48" s="124" t="s">
        <v>437</v>
      </c>
      <c r="B48" s="124" t="s">
        <v>257</v>
      </c>
    </row>
    <row r="49" spans="1:2" x14ac:dyDescent="0.2">
      <c r="A49" s="124" t="s">
        <v>438</v>
      </c>
      <c r="B49" s="124" t="s">
        <v>439</v>
      </c>
    </row>
    <row r="50" spans="1:2" x14ac:dyDescent="0.2">
      <c r="A50" s="124" t="s">
        <v>440</v>
      </c>
      <c r="B50" s="124" t="s">
        <v>441</v>
      </c>
    </row>
    <row r="51" spans="1:2" x14ac:dyDescent="0.2">
      <c r="A51" s="124" t="s">
        <v>53</v>
      </c>
      <c r="B51" s="124" t="s">
        <v>314</v>
      </c>
    </row>
    <row r="52" spans="1:2" x14ac:dyDescent="0.2">
      <c r="A52" s="124" t="s">
        <v>442</v>
      </c>
      <c r="B52" s="124" t="s">
        <v>443</v>
      </c>
    </row>
    <row r="53" spans="1:2" x14ac:dyDescent="0.2">
      <c r="A53" s="124" t="s">
        <v>444</v>
      </c>
      <c r="B53" s="124" t="s">
        <v>234</v>
      </c>
    </row>
    <row r="54" spans="1:2" x14ac:dyDescent="0.2">
      <c r="A54" s="124" t="s">
        <v>445</v>
      </c>
      <c r="B54" s="124" t="s">
        <v>446</v>
      </c>
    </row>
    <row r="55" spans="1:2" x14ac:dyDescent="0.2">
      <c r="A55" s="124" t="s">
        <v>447</v>
      </c>
      <c r="B55" s="124" t="s">
        <v>448</v>
      </c>
    </row>
    <row r="56" spans="1:2" x14ac:dyDescent="0.2">
      <c r="A56" s="124" t="s">
        <v>449</v>
      </c>
      <c r="B56" s="124" t="s">
        <v>591</v>
      </c>
    </row>
    <row r="57" spans="1:2" x14ac:dyDescent="0.2">
      <c r="A57" s="124" t="s">
        <v>214</v>
      </c>
      <c r="B57" s="124" t="s">
        <v>244</v>
      </c>
    </row>
    <row r="58" spans="1:2" x14ac:dyDescent="0.2">
      <c r="A58" s="124" t="s">
        <v>570</v>
      </c>
      <c r="B58" s="124" t="s">
        <v>571</v>
      </c>
    </row>
    <row r="59" spans="1:2" x14ac:dyDescent="0.2">
      <c r="A59" s="124" t="s">
        <v>451</v>
      </c>
      <c r="B59" s="124" t="s">
        <v>452</v>
      </c>
    </row>
    <row r="60" spans="1:2" x14ac:dyDescent="0.2">
      <c r="A60" s="124" t="s">
        <v>453</v>
      </c>
      <c r="B60" s="124" t="s">
        <v>336</v>
      </c>
    </row>
    <row r="61" spans="1:2" x14ac:dyDescent="0.2">
      <c r="A61" s="124" t="s">
        <v>454</v>
      </c>
      <c r="B61" s="124" t="s">
        <v>455</v>
      </c>
    </row>
    <row r="62" spans="1:2" x14ac:dyDescent="0.2">
      <c r="A62" s="124" t="s">
        <v>456</v>
      </c>
      <c r="B62" s="124" t="s">
        <v>457</v>
      </c>
    </row>
    <row r="63" spans="1:2" x14ac:dyDescent="0.2">
      <c r="A63" s="124" t="s">
        <v>458</v>
      </c>
      <c r="B63" s="124" t="s">
        <v>450</v>
      </c>
    </row>
    <row r="64" spans="1:2" x14ac:dyDescent="0.2">
      <c r="A64" s="124" t="s">
        <v>357</v>
      </c>
      <c r="B64" s="124" t="s">
        <v>459</v>
      </c>
    </row>
    <row r="65" spans="1:2" x14ac:dyDescent="0.2">
      <c r="A65" s="124" t="s">
        <v>351</v>
      </c>
      <c r="B65" s="124" t="s">
        <v>460</v>
      </c>
    </row>
    <row r="66" spans="1:2" x14ac:dyDescent="0.2">
      <c r="A66" s="124" t="s">
        <v>245</v>
      </c>
      <c r="B66" s="124" t="s">
        <v>246</v>
      </c>
    </row>
    <row r="67" spans="1:2" x14ac:dyDescent="0.2">
      <c r="A67" s="124" t="s">
        <v>461</v>
      </c>
      <c r="B67" s="124" t="s">
        <v>329</v>
      </c>
    </row>
    <row r="68" spans="1:2" x14ac:dyDescent="0.2">
      <c r="A68" s="124" t="s">
        <v>462</v>
      </c>
      <c r="B68" s="124" t="s">
        <v>469</v>
      </c>
    </row>
    <row r="69" spans="1:2" x14ac:dyDescent="0.2">
      <c r="A69" s="124" t="s">
        <v>464</v>
      </c>
      <c r="B69" s="124" t="s">
        <v>463</v>
      </c>
    </row>
    <row r="70" spans="1:2" x14ac:dyDescent="0.2">
      <c r="A70" s="124" t="s">
        <v>466</v>
      </c>
      <c r="B70" s="124" t="s">
        <v>465</v>
      </c>
    </row>
    <row r="71" spans="1:2" x14ac:dyDescent="0.2">
      <c r="A71" s="124" t="s">
        <v>468</v>
      </c>
      <c r="B71" s="124" t="s">
        <v>572</v>
      </c>
    </row>
    <row r="72" spans="1:2" x14ac:dyDescent="0.2">
      <c r="A72" s="124" t="s">
        <v>356</v>
      </c>
      <c r="B72" s="124" t="s">
        <v>470</v>
      </c>
    </row>
    <row r="73" spans="1:2" x14ac:dyDescent="0.2">
      <c r="A73" s="124" t="s">
        <v>316</v>
      </c>
      <c r="B73" s="124" t="s">
        <v>322</v>
      </c>
    </row>
    <row r="74" spans="1:2" x14ac:dyDescent="0.2">
      <c r="A74" s="124" t="s">
        <v>318</v>
      </c>
      <c r="B74" s="124" t="s">
        <v>319</v>
      </c>
    </row>
    <row r="75" spans="1:2" x14ac:dyDescent="0.2">
      <c r="A75" s="124" t="s">
        <v>166</v>
      </c>
      <c r="B75" s="124" t="s">
        <v>573</v>
      </c>
    </row>
    <row r="76" spans="1:2" x14ac:dyDescent="0.2">
      <c r="A76" s="124" t="s">
        <v>187</v>
      </c>
      <c r="B76" s="124" t="s">
        <v>574</v>
      </c>
    </row>
    <row r="77" spans="1:2" x14ac:dyDescent="0.2">
      <c r="A77" s="124" t="s">
        <v>472</v>
      </c>
      <c r="B77" s="124" t="s">
        <v>473</v>
      </c>
    </row>
    <row r="78" spans="1:2" x14ac:dyDescent="0.2">
      <c r="A78" s="124" t="s">
        <v>474</v>
      </c>
      <c r="B78" s="124" t="s">
        <v>475</v>
      </c>
    </row>
    <row r="79" spans="1:2" x14ac:dyDescent="0.2">
      <c r="A79" s="124" t="s">
        <v>477</v>
      </c>
      <c r="B79" s="124" t="s">
        <v>483</v>
      </c>
    </row>
    <row r="80" spans="1:2" x14ac:dyDescent="0.2">
      <c r="A80" s="124" t="s">
        <v>479</v>
      </c>
      <c r="B80" s="124" t="s">
        <v>478</v>
      </c>
    </row>
    <row r="81" spans="1:2" x14ac:dyDescent="0.2">
      <c r="A81" s="124" t="s">
        <v>481</v>
      </c>
      <c r="B81" s="124" t="s">
        <v>480</v>
      </c>
    </row>
    <row r="82" spans="1:2" x14ac:dyDescent="0.2">
      <c r="A82" s="124" t="s">
        <v>482</v>
      </c>
      <c r="B82" s="124" t="s">
        <v>467</v>
      </c>
    </row>
    <row r="83" spans="1:2" x14ac:dyDescent="0.2">
      <c r="A83" s="124" t="s">
        <v>484</v>
      </c>
      <c r="B83" s="124" t="s">
        <v>485</v>
      </c>
    </row>
    <row r="84" spans="1:2" x14ac:dyDescent="0.2">
      <c r="A84" s="124" t="s">
        <v>199</v>
      </c>
      <c r="B84" s="124" t="s">
        <v>575</v>
      </c>
    </row>
    <row r="85" spans="1:2" x14ac:dyDescent="0.2">
      <c r="A85" s="124" t="s">
        <v>487</v>
      </c>
      <c r="B85" s="124" t="s">
        <v>488</v>
      </c>
    </row>
    <row r="86" spans="1:2" x14ac:dyDescent="0.2">
      <c r="A86" s="124" t="s">
        <v>489</v>
      </c>
      <c r="B86" s="124" t="s">
        <v>490</v>
      </c>
    </row>
    <row r="87" spans="1:2" x14ac:dyDescent="0.2">
      <c r="A87" s="124" t="s">
        <v>491</v>
      </c>
      <c r="B87" s="124" t="s">
        <v>492</v>
      </c>
    </row>
    <row r="88" spans="1:2" x14ac:dyDescent="0.2">
      <c r="A88" s="124" t="s">
        <v>493</v>
      </c>
      <c r="B88" s="124" t="s">
        <v>494</v>
      </c>
    </row>
    <row r="89" spans="1:2" x14ac:dyDescent="0.2">
      <c r="A89" s="124" t="s">
        <v>495</v>
      </c>
      <c r="B89" s="124" t="s">
        <v>496</v>
      </c>
    </row>
    <row r="90" spans="1:2" x14ac:dyDescent="0.2">
      <c r="A90" s="124" t="s">
        <v>497</v>
      </c>
      <c r="B90" s="124" t="s">
        <v>498</v>
      </c>
    </row>
    <row r="91" spans="1:2" x14ac:dyDescent="0.2">
      <c r="A91" s="124" t="s">
        <v>499</v>
      </c>
      <c r="B91" s="124" t="s">
        <v>500</v>
      </c>
    </row>
    <row r="92" spans="1:2" x14ac:dyDescent="0.2">
      <c r="A92" s="124" t="s">
        <v>501</v>
      </c>
      <c r="B92" s="124" t="s">
        <v>320</v>
      </c>
    </row>
    <row r="93" spans="1:2" x14ac:dyDescent="0.2">
      <c r="A93" s="124" t="s">
        <v>42</v>
      </c>
      <c r="B93" s="124" t="s">
        <v>592</v>
      </c>
    </row>
    <row r="94" spans="1:2" x14ac:dyDescent="0.2">
      <c r="A94" s="124" t="s">
        <v>321</v>
      </c>
      <c r="B94" s="124" t="s">
        <v>502</v>
      </c>
    </row>
    <row r="95" spans="1:2" x14ac:dyDescent="0.2">
      <c r="A95" s="124" t="s">
        <v>276</v>
      </c>
      <c r="B95" s="124" t="s">
        <v>503</v>
      </c>
    </row>
    <row r="96" spans="1:2" x14ac:dyDescent="0.2">
      <c r="A96" s="124" t="s">
        <v>252</v>
      </c>
      <c r="B96" s="124" t="s">
        <v>504</v>
      </c>
    </row>
    <row r="97" spans="1:2" x14ac:dyDescent="0.2">
      <c r="A97" s="124" t="s">
        <v>253</v>
      </c>
      <c r="B97" s="124" t="s">
        <v>505</v>
      </c>
    </row>
    <row r="98" spans="1:2" x14ac:dyDescent="0.2">
      <c r="A98" s="124" t="s">
        <v>576</v>
      </c>
      <c r="B98" s="124" t="s">
        <v>577</v>
      </c>
    </row>
    <row r="99" spans="1:2" x14ac:dyDescent="0.2">
      <c r="A99" s="124" t="s">
        <v>219</v>
      </c>
      <c r="B99" s="124" t="s">
        <v>506</v>
      </c>
    </row>
    <row r="100" spans="1:2" x14ac:dyDescent="0.2">
      <c r="A100" s="124" t="s">
        <v>507</v>
      </c>
      <c r="B100" s="124" t="s">
        <v>508</v>
      </c>
    </row>
    <row r="101" spans="1:2" x14ac:dyDescent="0.2">
      <c r="A101" s="124" t="s">
        <v>509</v>
      </c>
      <c r="B101" s="124" t="s">
        <v>251</v>
      </c>
    </row>
    <row r="102" spans="1:2" x14ac:dyDescent="0.2">
      <c r="A102" s="124" t="s">
        <v>510</v>
      </c>
      <c r="B102" s="124" t="s">
        <v>511</v>
      </c>
    </row>
    <row r="103" spans="1:2" x14ac:dyDescent="0.2">
      <c r="A103" s="124" t="s">
        <v>512</v>
      </c>
      <c r="B103" s="124" t="s">
        <v>513</v>
      </c>
    </row>
    <row r="104" spans="1:2" x14ac:dyDescent="0.2">
      <c r="A104" s="124" t="s">
        <v>363</v>
      </c>
      <c r="B104" s="124" t="s">
        <v>429</v>
      </c>
    </row>
    <row r="105" spans="1:2" x14ac:dyDescent="0.2">
      <c r="A105" s="124" t="s">
        <v>360</v>
      </c>
      <c r="B105" s="124" t="s">
        <v>514</v>
      </c>
    </row>
    <row r="106" spans="1:2" x14ac:dyDescent="0.2">
      <c r="A106" s="124" t="s">
        <v>516</v>
      </c>
      <c r="B106" s="124" t="s">
        <v>515</v>
      </c>
    </row>
    <row r="107" spans="1:2" x14ac:dyDescent="0.2">
      <c r="A107" s="124" t="s">
        <v>254</v>
      </c>
      <c r="B107" s="124" t="s">
        <v>518</v>
      </c>
    </row>
    <row r="108" spans="1:2" x14ac:dyDescent="0.2">
      <c r="A108" s="124" t="s">
        <v>519</v>
      </c>
      <c r="B108" s="124" t="s">
        <v>520</v>
      </c>
    </row>
    <row r="109" spans="1:2" x14ac:dyDescent="0.2">
      <c r="A109" s="124" t="s">
        <v>299</v>
      </c>
      <c r="B109" s="124" t="s">
        <v>305</v>
      </c>
    </row>
    <row r="110" spans="1:2" x14ac:dyDescent="0.2">
      <c r="A110" s="124" t="s">
        <v>294</v>
      </c>
      <c r="B110" s="124" t="s">
        <v>323</v>
      </c>
    </row>
    <row r="111" spans="1:2" x14ac:dyDescent="0.2">
      <c r="A111" s="124" t="s">
        <v>556</v>
      </c>
      <c r="B111" s="124" t="s">
        <v>476</v>
      </c>
    </row>
    <row r="112" spans="1:2" x14ac:dyDescent="0.2">
      <c r="A112" s="124" t="s">
        <v>578</v>
      </c>
      <c r="B112" s="124" t="s">
        <v>579</v>
      </c>
    </row>
    <row r="113" spans="1:2" x14ac:dyDescent="0.2">
      <c r="A113" s="124" t="s">
        <v>521</v>
      </c>
      <c r="B113" s="124" t="s">
        <v>526</v>
      </c>
    </row>
    <row r="114" spans="1:2" x14ac:dyDescent="0.2">
      <c r="A114" s="124" t="s">
        <v>301</v>
      </c>
      <c r="B114" s="124" t="s">
        <v>324</v>
      </c>
    </row>
    <row r="115" spans="1:2" x14ac:dyDescent="0.2">
      <c r="A115" s="124" t="s">
        <v>325</v>
      </c>
      <c r="B115" s="124" t="s">
        <v>326</v>
      </c>
    </row>
    <row r="116" spans="1:2" x14ac:dyDescent="0.2">
      <c r="A116" s="124" t="s">
        <v>327</v>
      </c>
      <c r="B116" s="124" t="s">
        <v>522</v>
      </c>
    </row>
    <row r="117" spans="1:2" x14ac:dyDescent="0.2">
      <c r="A117" s="124" t="s">
        <v>375</v>
      </c>
      <c r="B117" s="124" t="s">
        <v>523</v>
      </c>
    </row>
    <row r="118" spans="1:2" x14ac:dyDescent="0.2">
      <c r="A118" s="124" t="s">
        <v>328</v>
      </c>
      <c r="B118" s="124" t="s">
        <v>349</v>
      </c>
    </row>
    <row r="119" spans="1:2" x14ac:dyDescent="0.2">
      <c r="A119" s="124" t="s">
        <v>330</v>
      </c>
      <c r="B119" s="124" t="s">
        <v>331</v>
      </c>
    </row>
    <row r="120" spans="1:2" x14ac:dyDescent="0.2">
      <c r="A120" s="124" t="s">
        <v>255</v>
      </c>
      <c r="B120" s="124" t="s">
        <v>471</v>
      </c>
    </row>
    <row r="121" spans="1:2" x14ac:dyDescent="0.2">
      <c r="A121" s="124" t="s">
        <v>373</v>
      </c>
      <c r="B121" s="124" t="s">
        <v>332</v>
      </c>
    </row>
    <row r="122" spans="1:2" x14ac:dyDescent="0.2">
      <c r="A122" s="124" t="s">
        <v>388</v>
      </c>
      <c r="B122" s="124" t="s">
        <v>525</v>
      </c>
    </row>
    <row r="123" spans="1:2" x14ac:dyDescent="0.2">
      <c r="A123" s="124" t="s">
        <v>381</v>
      </c>
      <c r="B123" s="124" t="s">
        <v>593</v>
      </c>
    </row>
    <row r="124" spans="1:2" x14ac:dyDescent="0.2">
      <c r="A124" s="124" t="s">
        <v>580</v>
      </c>
      <c r="B124" s="124" t="s">
        <v>408</v>
      </c>
    </row>
    <row r="125" spans="1:2" x14ac:dyDescent="0.2">
      <c r="A125" s="124" t="s">
        <v>581</v>
      </c>
      <c r="B125" s="124" t="s">
        <v>582</v>
      </c>
    </row>
    <row r="126" spans="1:2" x14ac:dyDescent="0.2">
      <c r="A126" s="124" t="s">
        <v>272</v>
      </c>
      <c r="B126" s="124" t="s">
        <v>333</v>
      </c>
    </row>
    <row r="127" spans="1:2" x14ac:dyDescent="0.2">
      <c r="A127" s="124" t="s">
        <v>583</v>
      </c>
      <c r="B127" s="124" t="s">
        <v>584</v>
      </c>
    </row>
    <row r="128" spans="1:2" x14ac:dyDescent="0.2">
      <c r="A128" s="124" t="s">
        <v>527</v>
      </c>
      <c r="B128" s="124" t="s">
        <v>528</v>
      </c>
    </row>
    <row r="129" spans="1:2" x14ac:dyDescent="0.2">
      <c r="A129" s="124" t="s">
        <v>529</v>
      </c>
      <c r="B129" s="124" t="s">
        <v>256</v>
      </c>
    </row>
    <row r="130" spans="1:2" x14ac:dyDescent="0.2">
      <c r="A130" s="124" t="s">
        <v>530</v>
      </c>
      <c r="B130" s="124" t="s">
        <v>531</v>
      </c>
    </row>
    <row r="131" spans="1:2" x14ac:dyDescent="0.2">
      <c r="A131" s="124" t="s">
        <v>532</v>
      </c>
      <c r="B131" s="124" t="s">
        <v>533</v>
      </c>
    </row>
    <row r="132" spans="1:2" x14ac:dyDescent="0.2">
      <c r="A132" s="124" t="s">
        <v>585</v>
      </c>
      <c r="B132" s="124" t="s">
        <v>586</v>
      </c>
    </row>
    <row r="133" spans="1:2" x14ac:dyDescent="0.2">
      <c r="A133" s="124" t="s">
        <v>534</v>
      </c>
      <c r="B133" s="124" t="s">
        <v>535</v>
      </c>
    </row>
    <row r="134" spans="1:2" x14ac:dyDescent="0.2">
      <c r="A134" s="124" t="s">
        <v>536</v>
      </c>
      <c r="B134" s="124" t="s">
        <v>243</v>
      </c>
    </row>
    <row r="135" spans="1:2" x14ac:dyDescent="0.2">
      <c r="A135" s="124" t="s">
        <v>537</v>
      </c>
      <c r="B135" s="124" t="s">
        <v>538</v>
      </c>
    </row>
    <row r="136" spans="1:2" x14ac:dyDescent="0.2">
      <c r="A136" s="124" t="s">
        <v>539</v>
      </c>
      <c r="B136" s="124" t="s">
        <v>540</v>
      </c>
    </row>
    <row r="137" spans="1:2" x14ac:dyDescent="0.2">
      <c r="A137" s="124" t="s">
        <v>0</v>
      </c>
      <c r="B137" s="124" t="s">
        <v>471</v>
      </c>
    </row>
    <row r="138" spans="1:2" x14ac:dyDescent="0.2">
      <c r="A138" s="124" t="s">
        <v>1</v>
      </c>
      <c r="B138" s="124" t="s">
        <v>471</v>
      </c>
    </row>
    <row r="139" spans="1:2" x14ac:dyDescent="0.2">
      <c r="A139" s="124" t="s">
        <v>2</v>
      </c>
      <c r="B139" s="124" t="s">
        <v>471</v>
      </c>
    </row>
    <row r="140" spans="1:2" x14ac:dyDescent="0.2">
      <c r="A140" s="124" t="s">
        <v>3</v>
      </c>
      <c r="B140" s="124" t="s">
        <v>471</v>
      </c>
    </row>
    <row r="141" spans="1:2" x14ac:dyDescent="0.2">
      <c r="A141" s="124" t="s">
        <v>4</v>
      </c>
      <c r="B141" s="124" t="s">
        <v>5</v>
      </c>
    </row>
    <row r="142" spans="1:2" x14ac:dyDescent="0.2">
      <c r="A142" s="124" t="s">
        <v>6</v>
      </c>
      <c r="B142" s="124" t="s">
        <v>258</v>
      </c>
    </row>
    <row r="143" spans="1:2" x14ac:dyDescent="0.2">
      <c r="A143" s="124" t="s">
        <v>7</v>
      </c>
      <c r="B143" s="124" t="s">
        <v>8</v>
      </c>
    </row>
    <row r="144" spans="1:2" x14ac:dyDescent="0.2">
      <c r="A144" s="124" t="s">
        <v>9</v>
      </c>
      <c r="B144" s="124" t="s">
        <v>10</v>
      </c>
    </row>
    <row r="145" spans="1:2" x14ac:dyDescent="0.2">
      <c r="A145" s="124" t="s">
        <v>337</v>
      </c>
      <c r="B145" s="124" t="s">
        <v>11</v>
      </c>
    </row>
    <row r="146" spans="1:2" x14ac:dyDescent="0.2">
      <c r="A146" s="124" t="s">
        <v>271</v>
      </c>
      <c r="B146" s="124" t="s">
        <v>587</v>
      </c>
    </row>
    <row r="147" spans="1:2" x14ac:dyDescent="0.2">
      <c r="A147" s="124" t="s">
        <v>277</v>
      </c>
      <c r="B147" s="124" t="s">
        <v>12</v>
      </c>
    </row>
    <row r="148" spans="1:2" x14ac:dyDescent="0.2">
      <c r="A148" s="124" t="s">
        <v>270</v>
      </c>
      <c r="B148" s="124" t="s">
        <v>13</v>
      </c>
    </row>
    <row r="149" spans="1:2" x14ac:dyDescent="0.2">
      <c r="A149" s="124" t="s">
        <v>338</v>
      </c>
      <c r="B149" s="124" t="s">
        <v>14</v>
      </c>
    </row>
    <row r="150" spans="1:2" x14ac:dyDescent="0.2">
      <c r="A150" s="124" t="s">
        <v>340</v>
      </c>
      <c r="B150" s="124" t="s">
        <v>345</v>
      </c>
    </row>
    <row r="151" spans="1:2" x14ac:dyDescent="0.2">
      <c r="A151" s="124" t="s">
        <v>259</v>
      </c>
      <c r="B151" s="124" t="s">
        <v>15</v>
      </c>
    </row>
    <row r="152" spans="1:2" x14ac:dyDescent="0.2">
      <c r="A152" s="124" t="s">
        <v>16</v>
      </c>
      <c r="B152" s="124" t="s">
        <v>241</v>
      </c>
    </row>
    <row r="153" spans="1:2" x14ac:dyDescent="0.2">
      <c r="A153" s="124" t="s">
        <v>17</v>
      </c>
      <c r="B153" s="124" t="s">
        <v>18</v>
      </c>
    </row>
    <row r="154" spans="1:2" x14ac:dyDescent="0.2">
      <c r="A154" s="124" t="s">
        <v>19</v>
      </c>
      <c r="B154" s="124" t="s">
        <v>20</v>
      </c>
    </row>
    <row r="155" spans="1:2" x14ac:dyDescent="0.2">
      <c r="A155" s="124" t="s">
        <v>279</v>
      </c>
      <c r="B155" s="124" t="s">
        <v>339</v>
      </c>
    </row>
    <row r="156" spans="1:2" x14ac:dyDescent="0.2">
      <c r="A156" s="124" t="s">
        <v>342</v>
      </c>
      <c r="B156" s="124" t="s">
        <v>21</v>
      </c>
    </row>
    <row r="157" spans="1:2" x14ac:dyDescent="0.2">
      <c r="A157" s="124" t="s">
        <v>22</v>
      </c>
      <c r="B157" s="124" t="s">
        <v>317</v>
      </c>
    </row>
    <row r="158" spans="1:2" x14ac:dyDescent="0.2">
      <c r="A158" s="124" t="s">
        <v>280</v>
      </c>
      <c r="B158" s="124" t="s">
        <v>347</v>
      </c>
    </row>
    <row r="159" spans="1:2" x14ac:dyDescent="0.2">
      <c r="A159" s="124" t="s">
        <v>281</v>
      </c>
      <c r="B159" s="124" t="s">
        <v>341</v>
      </c>
    </row>
    <row r="160" spans="1:2" x14ac:dyDescent="0.2">
      <c r="A160" s="124" t="s">
        <v>346</v>
      </c>
      <c r="B160" s="124" t="s">
        <v>344</v>
      </c>
    </row>
    <row r="161" spans="1:2" x14ac:dyDescent="0.2">
      <c r="A161" s="124" t="s">
        <v>278</v>
      </c>
      <c r="B161" s="124" t="s">
        <v>343</v>
      </c>
    </row>
    <row r="162" spans="1:2" x14ac:dyDescent="0.2">
      <c r="A162" s="124" t="s">
        <v>275</v>
      </c>
      <c r="B162" s="124" t="s">
        <v>23</v>
      </c>
    </row>
    <row r="163" spans="1:2" x14ac:dyDescent="0.2">
      <c r="A163" s="124" t="s">
        <v>274</v>
      </c>
      <c r="B163" s="124" t="s">
        <v>24</v>
      </c>
    </row>
    <row r="164" spans="1:2" x14ac:dyDescent="0.2">
      <c r="A164" s="124" t="s">
        <v>362</v>
      </c>
      <c r="B164" s="124" t="s">
        <v>517</v>
      </c>
    </row>
    <row r="165" spans="1:2" x14ac:dyDescent="0.2">
      <c r="A165" s="124" t="s">
        <v>273</v>
      </c>
      <c r="B165" s="124" t="s">
        <v>25</v>
      </c>
    </row>
    <row r="166" spans="1:2" x14ac:dyDescent="0.2">
      <c r="A166" s="124" t="s">
        <v>261</v>
      </c>
      <c r="B166" s="124" t="s">
        <v>26</v>
      </c>
    </row>
    <row r="167" spans="1:2" x14ac:dyDescent="0.2">
      <c r="A167" s="124" t="s">
        <v>374</v>
      </c>
      <c r="B167" s="124" t="s">
        <v>27</v>
      </c>
    </row>
    <row r="168" spans="1:2" x14ac:dyDescent="0.2">
      <c r="A168" s="124" t="s">
        <v>348</v>
      </c>
      <c r="B168" s="124" t="s">
        <v>334</v>
      </c>
    </row>
    <row r="169" spans="1:2" x14ac:dyDescent="0.2">
      <c r="A169" s="124" t="s">
        <v>350</v>
      </c>
      <c r="B169" s="124" t="s">
        <v>28</v>
      </c>
    </row>
    <row r="170" spans="1:2" x14ac:dyDescent="0.2">
      <c r="A170" s="124" t="s">
        <v>588</v>
      </c>
      <c r="B170" s="124" t="s">
        <v>589</v>
      </c>
    </row>
    <row r="171" spans="1:2" x14ac:dyDescent="0.2">
      <c r="A171" s="124" t="s">
        <v>30</v>
      </c>
      <c r="B171" s="124" t="s">
        <v>31</v>
      </c>
    </row>
    <row r="172" spans="1:2" x14ac:dyDescent="0.2">
      <c r="A172" s="124" t="s">
        <v>32</v>
      </c>
      <c r="B172" s="124" t="s">
        <v>260</v>
      </c>
    </row>
    <row r="173" spans="1:2" x14ac:dyDescent="0.2">
      <c r="A173" s="124" t="s">
        <v>33</v>
      </c>
      <c r="B173" s="124" t="s">
        <v>34</v>
      </c>
    </row>
    <row r="174" spans="1:2" x14ac:dyDescent="0.2">
      <c r="A174" s="124" t="s">
        <v>547</v>
      </c>
      <c r="B174" s="124" t="s">
        <v>29</v>
      </c>
    </row>
    <row r="175" spans="1:2" x14ac:dyDescent="0.2">
      <c r="A175" s="124"/>
      <c r="B175" s="124"/>
    </row>
    <row r="176" spans="1:2" x14ac:dyDescent="0.2">
      <c r="A176" s="124"/>
      <c r="B176" s="124"/>
    </row>
    <row r="177" spans="1:2" x14ac:dyDescent="0.2">
      <c r="A177" s="124"/>
      <c r="B177" s="124"/>
    </row>
    <row r="178" spans="1:2" x14ac:dyDescent="0.2">
      <c r="A178" s="124"/>
      <c r="B178" s="124"/>
    </row>
    <row r="179" spans="1:2" x14ac:dyDescent="0.2">
      <c r="A179" s="124"/>
      <c r="B179" s="124"/>
    </row>
    <row r="180" spans="1:2" x14ac:dyDescent="0.2">
      <c r="A180" s="124"/>
      <c r="B180" s="124"/>
    </row>
    <row r="181" spans="1:2" x14ac:dyDescent="0.2">
      <c r="A181" s="124"/>
      <c r="B181" s="124"/>
    </row>
    <row r="182" spans="1:2" x14ac:dyDescent="0.2">
      <c r="A182" s="124"/>
      <c r="B182" s="124"/>
    </row>
    <row r="183" spans="1:2" x14ac:dyDescent="0.2">
      <c r="A183" s="124"/>
      <c r="B183" s="124"/>
    </row>
    <row r="184" spans="1:2" x14ac:dyDescent="0.2">
      <c r="A184" s="124"/>
      <c r="B184" s="124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1"/>
  <dimension ref="A1:F195"/>
  <sheetViews>
    <sheetView topLeftCell="A184" workbookViewId="0">
      <selection activeCell="B193" sqref="B193"/>
    </sheetView>
  </sheetViews>
  <sheetFormatPr baseColWidth="10" defaultRowHeight="12.75" x14ac:dyDescent="0.2"/>
  <cols>
    <col min="1" max="1" width="26.7109375" customWidth="1"/>
    <col min="2" max="2" width="32.5703125" customWidth="1"/>
  </cols>
  <sheetData>
    <row r="1" spans="1:2" x14ac:dyDescent="0.2">
      <c r="A1" s="78" t="s">
        <v>302</v>
      </c>
      <c r="B1" s="78" t="s">
        <v>397</v>
      </c>
    </row>
    <row r="2" spans="1:2" x14ac:dyDescent="0.2">
      <c r="A2" s="78" t="s">
        <v>398</v>
      </c>
      <c r="B2" s="78" t="s">
        <v>399</v>
      </c>
    </row>
    <row r="3" spans="1:2" x14ac:dyDescent="0.2">
      <c r="A3" s="78" t="s">
        <v>400</v>
      </c>
      <c r="B3" s="78" t="s">
        <v>401</v>
      </c>
    </row>
    <row r="4" spans="1:2" x14ac:dyDescent="0.2">
      <c r="A4" s="78" t="s">
        <v>402</v>
      </c>
      <c r="B4" s="78" t="s">
        <v>403</v>
      </c>
    </row>
    <row r="5" spans="1:2" x14ac:dyDescent="0.2">
      <c r="A5" s="78" t="s">
        <v>404</v>
      </c>
      <c r="B5" s="78" t="s">
        <v>405</v>
      </c>
    </row>
    <row r="6" spans="1:2" x14ac:dyDescent="0.2">
      <c r="A6" s="78" t="s">
        <v>303</v>
      </c>
      <c r="B6" s="78" t="s">
        <v>304</v>
      </c>
    </row>
    <row r="7" spans="1:2" x14ac:dyDescent="0.2">
      <c r="A7" s="78" t="s">
        <v>175</v>
      </c>
      <c r="B7" s="78" t="s">
        <v>406</v>
      </c>
    </row>
    <row r="8" spans="1:2" x14ac:dyDescent="0.2">
      <c r="A8" s="78" t="s">
        <v>300</v>
      </c>
      <c r="B8" s="78" t="s">
        <v>315</v>
      </c>
    </row>
    <row r="9" spans="1:2" x14ac:dyDescent="0.2">
      <c r="A9" s="78" t="s">
        <v>295</v>
      </c>
      <c r="B9" s="78" t="s">
        <v>645</v>
      </c>
    </row>
    <row r="10" spans="1:2" x14ac:dyDescent="0.2">
      <c r="A10" s="78" t="s">
        <v>618</v>
      </c>
      <c r="B10" s="78" t="s">
        <v>646</v>
      </c>
    </row>
    <row r="11" spans="1:2" x14ac:dyDescent="0.2">
      <c r="A11" s="78" t="s">
        <v>371</v>
      </c>
      <c r="B11" s="78" t="s">
        <v>407</v>
      </c>
    </row>
    <row r="12" spans="1:2" x14ac:dyDescent="0.2">
      <c r="A12" s="78" t="s">
        <v>370</v>
      </c>
      <c r="B12" s="78" t="s">
        <v>557</v>
      </c>
    </row>
    <row r="13" spans="1:2" x14ac:dyDescent="0.2">
      <c r="A13" s="78" t="s">
        <v>372</v>
      </c>
      <c r="B13" s="78" t="s">
        <v>409</v>
      </c>
    </row>
    <row r="14" spans="1:2" x14ac:dyDescent="0.2">
      <c r="A14" s="78" t="s">
        <v>558</v>
      </c>
      <c r="B14" s="78" t="s">
        <v>559</v>
      </c>
    </row>
    <row r="15" spans="1:2" x14ac:dyDescent="0.2">
      <c r="A15" s="78" t="s">
        <v>555</v>
      </c>
      <c r="B15" s="78" t="s">
        <v>235</v>
      </c>
    </row>
    <row r="16" spans="1:2" x14ac:dyDescent="0.2">
      <c r="A16" s="78" t="s">
        <v>215</v>
      </c>
      <c r="B16" s="78" t="s">
        <v>244</v>
      </c>
    </row>
    <row r="17" spans="1:2" x14ac:dyDescent="0.2">
      <c r="A17" s="78" t="s">
        <v>307</v>
      </c>
      <c r="B17" s="78" t="s">
        <v>410</v>
      </c>
    </row>
    <row r="18" spans="1:2" x14ac:dyDescent="0.2">
      <c r="A18" s="78" t="s">
        <v>308</v>
      </c>
      <c r="B18" s="78" t="s">
        <v>411</v>
      </c>
    </row>
    <row r="19" spans="1:2" x14ac:dyDescent="0.2">
      <c r="A19" s="78" t="s">
        <v>309</v>
      </c>
      <c r="B19" s="78" t="s">
        <v>412</v>
      </c>
    </row>
    <row r="20" spans="1:2" x14ac:dyDescent="0.2">
      <c r="A20" s="78" t="s">
        <v>413</v>
      </c>
      <c r="B20" s="78" t="s">
        <v>414</v>
      </c>
    </row>
    <row r="21" spans="1:2" x14ac:dyDescent="0.2">
      <c r="A21" s="78" t="s">
        <v>310</v>
      </c>
      <c r="B21" s="78" t="s">
        <v>415</v>
      </c>
    </row>
    <row r="22" spans="1:2" x14ac:dyDescent="0.2">
      <c r="A22" s="78" t="s">
        <v>224</v>
      </c>
      <c r="B22" s="78" t="s">
        <v>311</v>
      </c>
    </row>
    <row r="23" spans="1:2" x14ac:dyDescent="0.2">
      <c r="A23" s="78" t="s">
        <v>416</v>
      </c>
      <c r="B23" s="78" t="s">
        <v>417</v>
      </c>
    </row>
    <row r="24" spans="1:2" x14ac:dyDescent="0.2">
      <c r="A24" s="78" t="s">
        <v>418</v>
      </c>
      <c r="B24" s="78" t="s">
        <v>419</v>
      </c>
    </row>
    <row r="25" spans="1:2" x14ac:dyDescent="0.2">
      <c r="A25" s="78" t="s">
        <v>420</v>
      </c>
      <c r="B25" s="78" t="s">
        <v>421</v>
      </c>
    </row>
    <row r="26" spans="1:2" x14ac:dyDescent="0.2">
      <c r="A26" s="78" t="s">
        <v>422</v>
      </c>
      <c r="B26" s="78" t="s">
        <v>423</v>
      </c>
    </row>
    <row r="27" spans="1:2" x14ac:dyDescent="0.2">
      <c r="A27" s="78" t="s">
        <v>560</v>
      </c>
      <c r="B27" s="78" t="s">
        <v>561</v>
      </c>
    </row>
    <row r="28" spans="1:2" x14ac:dyDescent="0.2">
      <c r="A28" s="78" t="s">
        <v>237</v>
      </c>
      <c r="B28" s="78" t="s">
        <v>238</v>
      </c>
    </row>
    <row r="29" spans="1:2" x14ac:dyDescent="0.2">
      <c r="A29" s="78" t="s">
        <v>394</v>
      </c>
      <c r="B29" s="78" t="s">
        <v>562</v>
      </c>
    </row>
    <row r="30" spans="1:2" x14ac:dyDescent="0.2">
      <c r="A30" s="78" t="s">
        <v>424</v>
      </c>
      <c r="B30" s="78" t="s">
        <v>427</v>
      </c>
    </row>
    <row r="31" spans="1:2" x14ac:dyDescent="0.2">
      <c r="A31" s="78" t="s">
        <v>425</v>
      </c>
      <c r="B31" s="78" t="s">
        <v>562</v>
      </c>
    </row>
    <row r="32" spans="1:2" x14ac:dyDescent="0.2">
      <c r="A32" s="78" t="s">
        <v>52</v>
      </c>
      <c r="B32" s="78" t="s">
        <v>312</v>
      </c>
    </row>
    <row r="33" spans="1:2" x14ac:dyDescent="0.2">
      <c r="A33" s="78" t="s">
        <v>542</v>
      </c>
      <c r="B33" s="78" t="s">
        <v>647</v>
      </c>
    </row>
    <row r="34" spans="1:2" x14ac:dyDescent="0.2">
      <c r="A34" s="78" t="s">
        <v>564</v>
      </c>
      <c r="B34" s="78" t="s">
        <v>647</v>
      </c>
    </row>
    <row r="35" spans="1:2" x14ac:dyDescent="0.2">
      <c r="A35" s="78" t="s">
        <v>566</v>
      </c>
      <c r="B35" s="78" t="s">
        <v>647</v>
      </c>
    </row>
    <row r="36" spans="1:2" x14ac:dyDescent="0.2">
      <c r="A36" s="78" t="s">
        <v>568</v>
      </c>
      <c r="B36" s="78" t="s">
        <v>647</v>
      </c>
    </row>
    <row r="37" spans="1:2" x14ac:dyDescent="0.2">
      <c r="A37" s="78" t="s">
        <v>543</v>
      </c>
      <c r="B37" s="78" t="s">
        <v>544</v>
      </c>
    </row>
    <row r="38" spans="1:2" x14ac:dyDescent="0.2">
      <c r="A38" s="78" t="s">
        <v>648</v>
      </c>
      <c r="B38" s="78" t="s">
        <v>649</v>
      </c>
    </row>
    <row r="39" spans="1:2" x14ac:dyDescent="0.2">
      <c r="A39" s="78" t="s">
        <v>426</v>
      </c>
      <c r="B39" s="78" t="s">
        <v>524</v>
      </c>
    </row>
    <row r="40" spans="1:2" x14ac:dyDescent="0.2">
      <c r="A40" s="78" t="s">
        <v>428</v>
      </c>
      <c r="B40" s="78" t="s">
        <v>545</v>
      </c>
    </row>
    <row r="41" spans="1:2" x14ac:dyDescent="0.2">
      <c r="A41" s="78" t="s">
        <v>359</v>
      </c>
      <c r="B41" s="78" t="s">
        <v>590</v>
      </c>
    </row>
    <row r="42" spans="1:2" x14ac:dyDescent="0.2">
      <c r="A42" s="78" t="s">
        <v>650</v>
      </c>
      <c r="B42" s="78" t="s">
        <v>651</v>
      </c>
    </row>
    <row r="43" spans="1:2" x14ac:dyDescent="0.2">
      <c r="A43" s="78" t="s">
        <v>652</v>
      </c>
      <c r="B43" s="78" t="s">
        <v>653</v>
      </c>
    </row>
    <row r="44" spans="1:2" x14ac:dyDescent="0.2">
      <c r="A44" s="78" t="s">
        <v>654</v>
      </c>
      <c r="B44" s="78" t="s">
        <v>655</v>
      </c>
    </row>
    <row r="45" spans="1:2" x14ac:dyDescent="0.2">
      <c r="A45" s="78" t="s">
        <v>541</v>
      </c>
      <c r="B45" s="78" t="s">
        <v>546</v>
      </c>
    </row>
    <row r="46" spans="1:2" x14ac:dyDescent="0.2">
      <c r="A46" s="78" t="s">
        <v>267</v>
      </c>
      <c r="B46" s="78" t="s">
        <v>313</v>
      </c>
    </row>
    <row r="47" spans="1:2" x14ac:dyDescent="0.2">
      <c r="A47" s="78" t="s">
        <v>239</v>
      </c>
      <c r="B47" s="78" t="s">
        <v>430</v>
      </c>
    </row>
    <row r="48" spans="1:2" x14ac:dyDescent="0.2">
      <c r="A48" s="78" t="s">
        <v>240</v>
      </c>
      <c r="B48" s="78" t="s">
        <v>335</v>
      </c>
    </row>
    <row r="49" spans="1:2" x14ac:dyDescent="0.2">
      <c r="A49" s="78" t="s">
        <v>242</v>
      </c>
      <c r="B49" s="78" t="s">
        <v>431</v>
      </c>
    </row>
    <row r="50" spans="1:2" x14ac:dyDescent="0.2">
      <c r="A50" s="78" t="s">
        <v>432</v>
      </c>
      <c r="B50" s="78" t="s">
        <v>433</v>
      </c>
    </row>
    <row r="51" spans="1:2" x14ac:dyDescent="0.2">
      <c r="A51" s="78" t="s">
        <v>435</v>
      </c>
      <c r="B51" s="78" t="s">
        <v>436</v>
      </c>
    </row>
    <row r="52" spans="1:2" x14ac:dyDescent="0.2">
      <c r="A52" s="78" t="s">
        <v>437</v>
      </c>
      <c r="B52" s="78" t="s">
        <v>257</v>
      </c>
    </row>
    <row r="53" spans="1:2" x14ac:dyDescent="0.2">
      <c r="A53" s="78" t="s">
        <v>438</v>
      </c>
      <c r="B53" s="78" t="s">
        <v>439</v>
      </c>
    </row>
    <row r="54" spans="1:2" x14ac:dyDescent="0.2">
      <c r="A54" s="78" t="s">
        <v>440</v>
      </c>
      <c r="B54" s="78" t="s">
        <v>441</v>
      </c>
    </row>
    <row r="55" spans="1:2" x14ac:dyDescent="0.2">
      <c r="A55" s="78" t="s">
        <v>53</v>
      </c>
      <c r="B55" s="78" t="s">
        <v>314</v>
      </c>
    </row>
    <row r="56" spans="1:2" x14ac:dyDescent="0.2">
      <c r="A56" s="78" t="s">
        <v>442</v>
      </c>
      <c r="B56" s="78" t="s">
        <v>443</v>
      </c>
    </row>
    <row r="57" spans="1:2" x14ac:dyDescent="0.2">
      <c r="A57" s="78" t="s">
        <v>444</v>
      </c>
      <c r="B57" s="78" t="s">
        <v>234</v>
      </c>
    </row>
    <row r="58" spans="1:2" x14ac:dyDescent="0.2">
      <c r="A58" s="78" t="s">
        <v>445</v>
      </c>
      <c r="B58" s="78" t="s">
        <v>446</v>
      </c>
    </row>
    <row r="59" spans="1:2" x14ac:dyDescent="0.2">
      <c r="A59" s="78" t="s">
        <v>447</v>
      </c>
      <c r="B59" s="78" t="s">
        <v>448</v>
      </c>
    </row>
    <row r="60" spans="1:2" x14ac:dyDescent="0.2">
      <c r="A60" s="78" t="s">
        <v>449</v>
      </c>
      <c r="B60" s="78" t="s">
        <v>591</v>
      </c>
    </row>
    <row r="61" spans="1:2" x14ac:dyDescent="0.2">
      <c r="A61" s="78" t="s">
        <v>214</v>
      </c>
      <c r="B61" s="78" t="s">
        <v>238</v>
      </c>
    </row>
    <row r="62" spans="1:2" x14ac:dyDescent="0.2">
      <c r="A62" s="78" t="s">
        <v>570</v>
      </c>
      <c r="B62" s="78" t="s">
        <v>571</v>
      </c>
    </row>
    <row r="63" spans="1:2" x14ac:dyDescent="0.2">
      <c r="A63" s="78" t="s">
        <v>451</v>
      </c>
      <c r="B63" s="78" t="s">
        <v>452</v>
      </c>
    </row>
    <row r="64" spans="1:2" x14ac:dyDescent="0.2">
      <c r="A64" s="78" t="s">
        <v>453</v>
      </c>
      <c r="B64" s="78" t="s">
        <v>336</v>
      </c>
    </row>
    <row r="65" spans="1:2" x14ac:dyDescent="0.2">
      <c r="A65" s="78" t="s">
        <v>454</v>
      </c>
      <c r="B65" s="78" t="s">
        <v>455</v>
      </c>
    </row>
    <row r="66" spans="1:2" x14ac:dyDescent="0.2">
      <c r="A66" s="78" t="s">
        <v>456</v>
      </c>
      <c r="B66" s="78" t="s">
        <v>457</v>
      </c>
    </row>
    <row r="67" spans="1:2" x14ac:dyDescent="0.2">
      <c r="A67" s="78" t="s">
        <v>458</v>
      </c>
      <c r="B67" s="78" t="s">
        <v>450</v>
      </c>
    </row>
    <row r="68" spans="1:2" x14ac:dyDescent="0.2">
      <c r="A68" s="78" t="s">
        <v>357</v>
      </c>
      <c r="B68" s="78" t="s">
        <v>459</v>
      </c>
    </row>
    <row r="69" spans="1:2" x14ac:dyDescent="0.2">
      <c r="A69" s="78" t="s">
        <v>656</v>
      </c>
      <c r="B69" s="78" t="s">
        <v>657</v>
      </c>
    </row>
    <row r="70" spans="1:2" x14ac:dyDescent="0.2">
      <c r="A70" s="78" t="s">
        <v>351</v>
      </c>
      <c r="B70" s="78" t="s">
        <v>658</v>
      </c>
    </row>
    <row r="71" spans="1:2" x14ac:dyDescent="0.2">
      <c r="A71" s="78" t="s">
        <v>619</v>
      </c>
      <c r="B71" s="78" t="s">
        <v>659</v>
      </c>
    </row>
    <row r="72" spans="1:2" x14ac:dyDescent="0.2">
      <c r="A72" s="78" t="s">
        <v>660</v>
      </c>
      <c r="B72" s="78" t="s">
        <v>661</v>
      </c>
    </row>
    <row r="73" spans="1:2" x14ac:dyDescent="0.2">
      <c r="A73" s="78" t="s">
        <v>245</v>
      </c>
      <c r="B73" s="78" t="s">
        <v>662</v>
      </c>
    </row>
    <row r="74" spans="1:2" x14ac:dyDescent="0.2">
      <c r="A74" s="78" t="s">
        <v>461</v>
      </c>
      <c r="B74" s="78" t="s">
        <v>329</v>
      </c>
    </row>
    <row r="75" spans="1:2" x14ac:dyDescent="0.2">
      <c r="A75" s="78" t="s">
        <v>462</v>
      </c>
      <c r="B75" s="78" t="s">
        <v>465</v>
      </c>
    </row>
    <row r="76" spans="1:2" x14ac:dyDescent="0.2">
      <c r="A76" s="78" t="s">
        <v>464</v>
      </c>
      <c r="B76" s="78" t="s">
        <v>467</v>
      </c>
    </row>
    <row r="77" spans="1:2" x14ac:dyDescent="0.2">
      <c r="A77" s="78" t="s">
        <v>466</v>
      </c>
      <c r="B77" s="78" t="s">
        <v>483</v>
      </c>
    </row>
    <row r="78" spans="1:2" x14ac:dyDescent="0.2">
      <c r="A78" s="78" t="s">
        <v>468</v>
      </c>
      <c r="B78" s="78" t="s">
        <v>463</v>
      </c>
    </row>
    <row r="79" spans="1:2" x14ac:dyDescent="0.2">
      <c r="A79" s="78" t="s">
        <v>356</v>
      </c>
      <c r="B79" s="78" t="s">
        <v>470</v>
      </c>
    </row>
    <row r="80" spans="1:2" x14ac:dyDescent="0.2">
      <c r="A80" s="78" t="s">
        <v>316</v>
      </c>
      <c r="B80" s="78" t="s">
        <v>322</v>
      </c>
    </row>
    <row r="81" spans="1:2" x14ac:dyDescent="0.2">
      <c r="A81" s="78" t="s">
        <v>318</v>
      </c>
      <c r="B81" s="78" t="s">
        <v>663</v>
      </c>
    </row>
    <row r="82" spans="1:2" x14ac:dyDescent="0.2">
      <c r="A82" s="78" t="s">
        <v>166</v>
      </c>
      <c r="B82" s="78" t="s">
        <v>664</v>
      </c>
    </row>
    <row r="83" spans="1:2" x14ac:dyDescent="0.2">
      <c r="A83" s="78" t="s">
        <v>187</v>
      </c>
      <c r="B83" s="78" t="s">
        <v>574</v>
      </c>
    </row>
    <row r="84" spans="1:2" x14ac:dyDescent="0.2">
      <c r="A84" s="78" t="s">
        <v>472</v>
      </c>
      <c r="B84" s="78" t="s">
        <v>473</v>
      </c>
    </row>
    <row r="85" spans="1:2" x14ac:dyDescent="0.2">
      <c r="A85" s="78" t="s">
        <v>474</v>
      </c>
      <c r="B85" s="78" t="s">
        <v>475</v>
      </c>
    </row>
    <row r="86" spans="1:2" x14ac:dyDescent="0.2">
      <c r="A86" s="78" t="s">
        <v>477</v>
      </c>
      <c r="B86" s="78" t="s">
        <v>480</v>
      </c>
    </row>
    <row r="87" spans="1:2" x14ac:dyDescent="0.2">
      <c r="A87" s="78" t="s">
        <v>479</v>
      </c>
      <c r="B87" s="78" t="s">
        <v>665</v>
      </c>
    </row>
    <row r="88" spans="1:2" x14ac:dyDescent="0.2">
      <c r="A88" s="78" t="s">
        <v>481</v>
      </c>
      <c r="B88" s="78" t="s">
        <v>666</v>
      </c>
    </row>
    <row r="89" spans="1:2" x14ac:dyDescent="0.2">
      <c r="A89" s="78" t="s">
        <v>482</v>
      </c>
      <c r="B89" s="78" t="s">
        <v>478</v>
      </c>
    </row>
    <row r="90" spans="1:2" x14ac:dyDescent="0.2">
      <c r="A90" s="78" t="s">
        <v>484</v>
      </c>
      <c r="B90" s="78" t="s">
        <v>485</v>
      </c>
    </row>
    <row r="91" spans="1:2" x14ac:dyDescent="0.2">
      <c r="A91" s="78" t="s">
        <v>199</v>
      </c>
      <c r="B91" s="78" t="s">
        <v>575</v>
      </c>
    </row>
    <row r="92" spans="1:2" x14ac:dyDescent="0.2">
      <c r="A92" s="78" t="s">
        <v>247</v>
      </c>
      <c r="B92" s="78" t="s">
        <v>471</v>
      </c>
    </row>
    <row r="93" spans="1:2" x14ac:dyDescent="0.2">
      <c r="A93" s="78" t="s">
        <v>248</v>
      </c>
      <c r="B93" s="78" t="s">
        <v>471</v>
      </c>
    </row>
    <row r="94" spans="1:2" x14ac:dyDescent="0.2">
      <c r="A94" s="78" t="s">
        <v>249</v>
      </c>
      <c r="B94" s="78" t="s">
        <v>471</v>
      </c>
    </row>
    <row r="95" spans="1:2" x14ac:dyDescent="0.2">
      <c r="A95" s="78" t="s">
        <v>250</v>
      </c>
      <c r="B95" s="78" t="s">
        <v>486</v>
      </c>
    </row>
    <row r="96" spans="1:2" x14ac:dyDescent="0.2">
      <c r="A96" s="78" t="s">
        <v>487</v>
      </c>
      <c r="B96" s="78" t="s">
        <v>488</v>
      </c>
    </row>
    <row r="97" spans="1:2" x14ac:dyDescent="0.2">
      <c r="A97" s="78" t="s">
        <v>489</v>
      </c>
      <c r="B97" s="78" t="s">
        <v>490</v>
      </c>
    </row>
    <row r="98" spans="1:2" x14ac:dyDescent="0.2">
      <c r="A98" s="78" t="s">
        <v>491</v>
      </c>
      <c r="B98" s="78" t="s">
        <v>492</v>
      </c>
    </row>
    <row r="99" spans="1:2" x14ac:dyDescent="0.2">
      <c r="A99" s="78" t="s">
        <v>493</v>
      </c>
      <c r="B99" s="78" t="s">
        <v>494</v>
      </c>
    </row>
    <row r="100" spans="1:2" x14ac:dyDescent="0.2">
      <c r="A100" s="78" t="s">
        <v>495</v>
      </c>
      <c r="B100" s="78" t="s">
        <v>496</v>
      </c>
    </row>
    <row r="101" spans="1:2" x14ac:dyDescent="0.2">
      <c r="A101" s="78" t="s">
        <v>497</v>
      </c>
      <c r="B101" s="78" t="s">
        <v>498</v>
      </c>
    </row>
    <row r="102" spans="1:2" x14ac:dyDescent="0.2">
      <c r="A102" s="78" t="s">
        <v>499</v>
      </c>
      <c r="B102" s="78" t="s">
        <v>500</v>
      </c>
    </row>
    <row r="103" spans="1:2" x14ac:dyDescent="0.2">
      <c r="A103" s="78" t="s">
        <v>501</v>
      </c>
      <c r="B103" s="78" t="s">
        <v>320</v>
      </c>
    </row>
    <row r="104" spans="1:2" x14ac:dyDescent="0.2">
      <c r="A104" s="78" t="s">
        <v>42</v>
      </c>
      <c r="B104" s="78" t="s">
        <v>592</v>
      </c>
    </row>
    <row r="105" spans="1:2" x14ac:dyDescent="0.2">
      <c r="A105" s="78" t="s">
        <v>321</v>
      </c>
      <c r="B105" s="78" t="s">
        <v>502</v>
      </c>
    </row>
    <row r="106" spans="1:2" x14ac:dyDescent="0.2">
      <c r="A106" s="78" t="s">
        <v>276</v>
      </c>
      <c r="B106" s="78" t="s">
        <v>503</v>
      </c>
    </row>
    <row r="107" spans="1:2" x14ac:dyDescent="0.2">
      <c r="A107" s="78" t="s">
        <v>252</v>
      </c>
      <c r="B107" s="78" t="s">
        <v>504</v>
      </c>
    </row>
    <row r="108" spans="1:2" x14ac:dyDescent="0.2">
      <c r="A108" s="78" t="s">
        <v>253</v>
      </c>
      <c r="B108" s="78" t="s">
        <v>505</v>
      </c>
    </row>
    <row r="109" spans="1:2" x14ac:dyDescent="0.2">
      <c r="A109" s="78" t="s">
        <v>576</v>
      </c>
      <c r="B109" s="78" t="s">
        <v>577</v>
      </c>
    </row>
    <row r="110" spans="1:2" x14ac:dyDescent="0.2">
      <c r="A110" s="78" t="s">
        <v>219</v>
      </c>
      <c r="B110" s="78" t="s">
        <v>506</v>
      </c>
    </row>
    <row r="111" spans="1:2" x14ac:dyDescent="0.2">
      <c r="A111" s="78" t="s">
        <v>507</v>
      </c>
      <c r="B111" s="78" t="s">
        <v>508</v>
      </c>
    </row>
    <row r="112" spans="1:2" x14ac:dyDescent="0.2">
      <c r="A112" s="78" t="s">
        <v>509</v>
      </c>
      <c r="B112" s="78" t="s">
        <v>251</v>
      </c>
    </row>
    <row r="113" spans="1:2" x14ac:dyDescent="0.2">
      <c r="A113" s="78" t="s">
        <v>510</v>
      </c>
      <c r="B113" s="78" t="s">
        <v>511</v>
      </c>
    </row>
    <row r="114" spans="1:2" x14ac:dyDescent="0.2">
      <c r="A114" s="78" t="s">
        <v>512</v>
      </c>
      <c r="B114" s="78" t="s">
        <v>513</v>
      </c>
    </row>
    <row r="115" spans="1:2" x14ac:dyDescent="0.2">
      <c r="A115" s="78" t="s">
        <v>363</v>
      </c>
      <c r="B115" s="78" t="s">
        <v>429</v>
      </c>
    </row>
    <row r="116" spans="1:2" x14ac:dyDescent="0.2">
      <c r="A116" s="78" t="s">
        <v>360</v>
      </c>
      <c r="B116" s="78" t="s">
        <v>514</v>
      </c>
    </row>
    <row r="117" spans="1:2" x14ac:dyDescent="0.2">
      <c r="A117" s="78" t="s">
        <v>516</v>
      </c>
      <c r="B117" s="78" t="s">
        <v>515</v>
      </c>
    </row>
    <row r="118" spans="1:2" x14ac:dyDescent="0.2">
      <c r="A118" s="78" t="s">
        <v>254</v>
      </c>
      <c r="B118" s="78" t="s">
        <v>518</v>
      </c>
    </row>
    <row r="119" spans="1:2" x14ac:dyDescent="0.2">
      <c r="A119" s="78" t="s">
        <v>519</v>
      </c>
      <c r="B119" s="78" t="s">
        <v>520</v>
      </c>
    </row>
    <row r="120" spans="1:2" x14ac:dyDescent="0.2">
      <c r="A120" s="78" t="s">
        <v>299</v>
      </c>
      <c r="B120" s="78" t="s">
        <v>305</v>
      </c>
    </row>
    <row r="121" spans="1:2" x14ac:dyDescent="0.2">
      <c r="A121" s="78" t="s">
        <v>643</v>
      </c>
      <c r="B121" s="78" t="s">
        <v>667</v>
      </c>
    </row>
    <row r="122" spans="1:2" x14ac:dyDescent="0.2">
      <c r="A122" s="78" t="s">
        <v>294</v>
      </c>
      <c r="B122" s="78" t="s">
        <v>323</v>
      </c>
    </row>
    <row r="123" spans="1:2" x14ac:dyDescent="0.2">
      <c r="A123" s="78" t="s">
        <v>556</v>
      </c>
      <c r="B123" s="78" t="s">
        <v>476</v>
      </c>
    </row>
    <row r="124" spans="1:2" x14ac:dyDescent="0.2">
      <c r="A124" s="78" t="s">
        <v>578</v>
      </c>
      <c r="B124" s="78" t="s">
        <v>579</v>
      </c>
    </row>
    <row r="125" spans="1:2" x14ac:dyDescent="0.2">
      <c r="A125" s="78" t="s">
        <v>521</v>
      </c>
      <c r="B125" s="78" t="s">
        <v>526</v>
      </c>
    </row>
    <row r="126" spans="1:2" x14ac:dyDescent="0.2">
      <c r="A126" s="78" t="s">
        <v>301</v>
      </c>
      <c r="B126" s="78" t="s">
        <v>324</v>
      </c>
    </row>
    <row r="127" spans="1:2" x14ac:dyDescent="0.2">
      <c r="A127" s="78" t="s">
        <v>668</v>
      </c>
      <c r="B127" s="78" t="s">
        <v>669</v>
      </c>
    </row>
    <row r="128" spans="1:2" x14ac:dyDescent="0.2">
      <c r="A128" s="78" t="s">
        <v>325</v>
      </c>
      <c r="B128" s="78" t="s">
        <v>670</v>
      </c>
    </row>
    <row r="129" spans="1:2" x14ac:dyDescent="0.2">
      <c r="A129" s="78" t="s">
        <v>327</v>
      </c>
      <c r="B129" s="78" t="s">
        <v>522</v>
      </c>
    </row>
    <row r="130" spans="1:2" x14ac:dyDescent="0.2">
      <c r="A130" s="78" t="s">
        <v>375</v>
      </c>
      <c r="B130" s="78" t="s">
        <v>523</v>
      </c>
    </row>
    <row r="131" spans="1:2" x14ac:dyDescent="0.2">
      <c r="A131" s="78" t="s">
        <v>328</v>
      </c>
      <c r="B131" s="78" t="s">
        <v>349</v>
      </c>
    </row>
    <row r="132" spans="1:2" x14ac:dyDescent="0.2">
      <c r="A132" s="78" t="s">
        <v>330</v>
      </c>
      <c r="B132" s="78" t="s">
        <v>331</v>
      </c>
    </row>
    <row r="133" spans="1:2" x14ac:dyDescent="0.2">
      <c r="A133" s="78" t="s">
        <v>255</v>
      </c>
      <c r="B133" s="78" t="s">
        <v>471</v>
      </c>
    </row>
    <row r="134" spans="1:2" x14ac:dyDescent="0.2">
      <c r="A134" s="78" t="s">
        <v>373</v>
      </c>
      <c r="B134" s="78" t="s">
        <v>332</v>
      </c>
    </row>
    <row r="135" spans="1:2" x14ac:dyDescent="0.2">
      <c r="A135" s="78" t="s">
        <v>388</v>
      </c>
      <c r="B135" s="78" t="s">
        <v>525</v>
      </c>
    </row>
    <row r="136" spans="1:2" x14ac:dyDescent="0.2">
      <c r="A136" s="78" t="s">
        <v>381</v>
      </c>
      <c r="B136" s="78" t="s">
        <v>593</v>
      </c>
    </row>
    <row r="137" spans="1:2" x14ac:dyDescent="0.2">
      <c r="A137" s="78" t="s">
        <v>580</v>
      </c>
      <c r="B137" s="78" t="s">
        <v>408</v>
      </c>
    </row>
    <row r="138" spans="1:2" x14ac:dyDescent="0.2">
      <c r="A138" s="78" t="s">
        <v>581</v>
      </c>
      <c r="B138" s="78" t="s">
        <v>582</v>
      </c>
    </row>
    <row r="139" spans="1:2" x14ac:dyDescent="0.2">
      <c r="A139" s="78" t="s">
        <v>272</v>
      </c>
      <c r="B139" s="78" t="s">
        <v>333</v>
      </c>
    </row>
    <row r="140" spans="1:2" x14ac:dyDescent="0.2">
      <c r="A140" s="78" t="s">
        <v>583</v>
      </c>
      <c r="B140" s="78" t="s">
        <v>584</v>
      </c>
    </row>
    <row r="141" spans="1:2" x14ac:dyDescent="0.2">
      <c r="A141" s="78" t="s">
        <v>527</v>
      </c>
      <c r="B141" s="78" t="s">
        <v>528</v>
      </c>
    </row>
    <row r="142" spans="1:2" x14ac:dyDescent="0.2">
      <c r="A142" s="78" t="s">
        <v>529</v>
      </c>
      <c r="B142" s="78" t="s">
        <v>256</v>
      </c>
    </row>
    <row r="143" spans="1:2" x14ac:dyDescent="0.2">
      <c r="A143" s="78" t="s">
        <v>530</v>
      </c>
      <c r="B143" s="78" t="s">
        <v>531</v>
      </c>
    </row>
    <row r="144" spans="1:2" x14ac:dyDescent="0.2">
      <c r="A144" s="78" t="s">
        <v>532</v>
      </c>
      <c r="B144" s="78" t="s">
        <v>533</v>
      </c>
    </row>
    <row r="145" spans="1:2" x14ac:dyDescent="0.2">
      <c r="A145" s="78" t="s">
        <v>585</v>
      </c>
      <c r="B145" s="78" t="s">
        <v>586</v>
      </c>
    </row>
    <row r="146" spans="1:2" x14ac:dyDescent="0.2">
      <c r="A146" s="78" t="s">
        <v>534</v>
      </c>
      <c r="B146" s="78" t="s">
        <v>535</v>
      </c>
    </row>
    <row r="147" spans="1:2" x14ac:dyDescent="0.2">
      <c r="A147" s="78" t="s">
        <v>536</v>
      </c>
      <c r="B147" s="78" t="s">
        <v>243</v>
      </c>
    </row>
    <row r="148" spans="1:2" x14ac:dyDescent="0.2">
      <c r="A148" s="78" t="s">
        <v>537</v>
      </c>
      <c r="B148" s="78" t="s">
        <v>538</v>
      </c>
    </row>
    <row r="149" spans="1:2" x14ac:dyDescent="0.2">
      <c r="A149" s="78" t="s">
        <v>539</v>
      </c>
      <c r="B149" s="78" t="s">
        <v>540</v>
      </c>
    </row>
    <row r="150" spans="1:2" x14ac:dyDescent="0.2">
      <c r="A150" s="78" t="s">
        <v>0</v>
      </c>
      <c r="B150" s="78" t="s">
        <v>471</v>
      </c>
    </row>
    <row r="151" spans="1:2" x14ac:dyDescent="0.2">
      <c r="A151" s="78" t="s">
        <v>1</v>
      </c>
      <c r="B151" s="78" t="s">
        <v>471</v>
      </c>
    </row>
    <row r="152" spans="1:2" x14ac:dyDescent="0.2">
      <c r="A152" s="78" t="s">
        <v>2</v>
      </c>
      <c r="B152" s="78" t="s">
        <v>471</v>
      </c>
    </row>
    <row r="153" spans="1:2" x14ac:dyDescent="0.2">
      <c r="A153" s="78" t="s">
        <v>3</v>
      </c>
      <c r="B153" s="78" t="s">
        <v>471</v>
      </c>
    </row>
    <row r="154" spans="1:2" x14ac:dyDescent="0.2">
      <c r="A154" s="78" t="s">
        <v>4</v>
      </c>
      <c r="B154" s="78" t="s">
        <v>5</v>
      </c>
    </row>
    <row r="155" spans="1:2" x14ac:dyDescent="0.2">
      <c r="A155" s="78" t="s">
        <v>6</v>
      </c>
      <c r="B155" s="78" t="s">
        <v>258</v>
      </c>
    </row>
    <row r="156" spans="1:2" x14ac:dyDescent="0.2">
      <c r="A156" s="78" t="s">
        <v>7</v>
      </c>
      <c r="B156" s="78" t="s">
        <v>8</v>
      </c>
    </row>
    <row r="157" spans="1:2" x14ac:dyDescent="0.2">
      <c r="A157" s="78" t="s">
        <v>9</v>
      </c>
      <c r="B157" s="78" t="s">
        <v>10</v>
      </c>
    </row>
    <row r="158" spans="1:2" x14ac:dyDescent="0.2">
      <c r="A158" s="78" t="s">
        <v>337</v>
      </c>
      <c r="B158" s="78" t="s">
        <v>11</v>
      </c>
    </row>
    <row r="159" spans="1:2" x14ac:dyDescent="0.2">
      <c r="A159" s="78" t="s">
        <v>271</v>
      </c>
      <c r="B159" s="78" t="s">
        <v>587</v>
      </c>
    </row>
    <row r="160" spans="1:2" x14ac:dyDescent="0.2">
      <c r="A160" s="78" t="s">
        <v>277</v>
      </c>
      <c r="B160" s="78" t="s">
        <v>12</v>
      </c>
    </row>
    <row r="161" spans="1:2" x14ac:dyDescent="0.2">
      <c r="A161" s="78" t="s">
        <v>270</v>
      </c>
      <c r="B161" s="78" t="s">
        <v>13</v>
      </c>
    </row>
    <row r="162" spans="1:2" x14ac:dyDescent="0.2">
      <c r="A162" s="78" t="s">
        <v>338</v>
      </c>
      <c r="B162" s="78" t="s">
        <v>14</v>
      </c>
    </row>
    <row r="163" spans="1:2" x14ac:dyDescent="0.2">
      <c r="A163" s="78" t="s">
        <v>340</v>
      </c>
      <c r="B163" s="78" t="s">
        <v>345</v>
      </c>
    </row>
    <row r="164" spans="1:2" x14ac:dyDescent="0.2">
      <c r="A164" s="78" t="s">
        <v>259</v>
      </c>
      <c r="B164" s="78" t="s">
        <v>15</v>
      </c>
    </row>
    <row r="165" spans="1:2" x14ac:dyDescent="0.2">
      <c r="A165" s="78" t="s">
        <v>16</v>
      </c>
      <c r="B165" s="78" t="s">
        <v>241</v>
      </c>
    </row>
    <row r="166" spans="1:2" x14ac:dyDescent="0.2">
      <c r="A166" s="78" t="s">
        <v>17</v>
      </c>
      <c r="B166" s="78" t="s">
        <v>18</v>
      </c>
    </row>
    <row r="167" spans="1:2" x14ac:dyDescent="0.2">
      <c r="A167" s="78" t="s">
        <v>19</v>
      </c>
      <c r="B167" s="78" t="s">
        <v>20</v>
      </c>
    </row>
    <row r="168" spans="1:2" x14ac:dyDescent="0.2">
      <c r="A168" s="78" t="s">
        <v>279</v>
      </c>
      <c r="B168" s="78" t="s">
        <v>339</v>
      </c>
    </row>
    <row r="169" spans="1:2" x14ac:dyDescent="0.2">
      <c r="A169" s="78" t="s">
        <v>342</v>
      </c>
      <c r="B169" s="78" t="s">
        <v>21</v>
      </c>
    </row>
    <row r="170" spans="1:2" x14ac:dyDescent="0.2">
      <c r="A170" s="78" t="s">
        <v>22</v>
      </c>
      <c r="B170" s="78" t="s">
        <v>317</v>
      </c>
    </row>
    <row r="171" spans="1:2" x14ac:dyDescent="0.2">
      <c r="A171" s="78" t="s">
        <v>280</v>
      </c>
      <c r="B171" s="78" t="s">
        <v>347</v>
      </c>
    </row>
    <row r="172" spans="1:2" x14ac:dyDescent="0.2">
      <c r="A172" s="78" t="s">
        <v>281</v>
      </c>
      <c r="B172" s="78" t="s">
        <v>341</v>
      </c>
    </row>
    <row r="173" spans="1:2" x14ac:dyDescent="0.2">
      <c r="A173" s="78" t="s">
        <v>346</v>
      </c>
      <c r="B173" s="78" t="s">
        <v>344</v>
      </c>
    </row>
    <row r="174" spans="1:2" x14ac:dyDescent="0.2">
      <c r="A174" s="78" t="s">
        <v>278</v>
      </c>
      <c r="B174" s="78" t="s">
        <v>343</v>
      </c>
    </row>
    <row r="175" spans="1:2" x14ac:dyDescent="0.2">
      <c r="A175" s="78" t="s">
        <v>275</v>
      </c>
      <c r="B175" s="78" t="s">
        <v>23</v>
      </c>
    </row>
    <row r="176" spans="1:2" x14ac:dyDescent="0.2">
      <c r="A176" s="78" t="s">
        <v>274</v>
      </c>
      <c r="B176" s="78" t="s">
        <v>24</v>
      </c>
    </row>
    <row r="177" spans="1:2" x14ac:dyDescent="0.2">
      <c r="A177" s="78" t="s">
        <v>362</v>
      </c>
      <c r="B177" s="78" t="s">
        <v>517</v>
      </c>
    </row>
    <row r="178" spans="1:2" x14ac:dyDescent="0.2">
      <c r="A178" s="78" t="s">
        <v>273</v>
      </c>
      <c r="B178" s="78" t="s">
        <v>25</v>
      </c>
    </row>
    <row r="179" spans="1:2" x14ac:dyDescent="0.2">
      <c r="A179" s="78" t="s">
        <v>261</v>
      </c>
      <c r="B179" s="78" t="s">
        <v>26</v>
      </c>
    </row>
    <row r="180" spans="1:2" x14ac:dyDescent="0.2">
      <c r="A180" s="78" t="s">
        <v>374</v>
      </c>
      <c r="B180" s="78" t="s">
        <v>27</v>
      </c>
    </row>
    <row r="181" spans="1:2" x14ac:dyDescent="0.2">
      <c r="A181" s="78" t="s">
        <v>348</v>
      </c>
      <c r="B181" s="78" t="s">
        <v>334</v>
      </c>
    </row>
    <row r="182" spans="1:2" x14ac:dyDescent="0.2">
      <c r="A182" s="78" t="s">
        <v>350</v>
      </c>
      <c r="B182" s="78" t="s">
        <v>28</v>
      </c>
    </row>
    <row r="183" spans="1:2" x14ac:dyDescent="0.2">
      <c r="A183" s="78" t="s">
        <v>588</v>
      </c>
      <c r="B183" s="78" t="s">
        <v>589</v>
      </c>
    </row>
    <row r="184" spans="1:2" x14ac:dyDescent="0.2">
      <c r="A184" s="78" t="s">
        <v>30</v>
      </c>
      <c r="B184" s="78" t="s">
        <v>31</v>
      </c>
    </row>
    <row r="185" spans="1:2" x14ac:dyDescent="0.2">
      <c r="A185" s="78" t="s">
        <v>32</v>
      </c>
      <c r="B185" s="78" t="s">
        <v>260</v>
      </c>
    </row>
    <row r="186" spans="1:2" x14ac:dyDescent="0.2">
      <c r="A186" s="78" t="s">
        <v>33</v>
      </c>
      <c r="B186" s="78" t="s">
        <v>34</v>
      </c>
    </row>
    <row r="187" spans="1:2" x14ac:dyDescent="0.2">
      <c r="A187" s="78" t="s">
        <v>547</v>
      </c>
      <c r="B187" s="78" t="s">
        <v>29</v>
      </c>
    </row>
    <row r="188" spans="1:2" x14ac:dyDescent="0.2">
      <c r="A188" s="78"/>
      <c r="B188" s="78"/>
    </row>
    <row r="189" spans="1:2" x14ac:dyDescent="0.2">
      <c r="A189" s="78"/>
      <c r="B189" s="78"/>
    </row>
    <row r="190" spans="1:2" x14ac:dyDescent="0.2">
      <c r="A190" s="78"/>
      <c r="B190" s="78"/>
    </row>
    <row r="192" spans="1:2" x14ac:dyDescent="0.2">
      <c r="A192" t="s">
        <v>671</v>
      </c>
      <c r="B192" s="160">
        <v>44743</v>
      </c>
    </row>
    <row r="193" spans="1:6" x14ac:dyDescent="0.2">
      <c r="A193" t="s">
        <v>672</v>
      </c>
      <c r="B193" s="160">
        <v>44926</v>
      </c>
      <c r="E193" s="160"/>
      <c r="F193" s="78"/>
    </row>
    <row r="194" spans="1:6" x14ac:dyDescent="0.2">
      <c r="A194" t="s">
        <v>673</v>
      </c>
      <c r="B194" s="160">
        <v>44622</v>
      </c>
    </row>
    <row r="195" spans="1:6" x14ac:dyDescent="0.2">
      <c r="A195" t="s">
        <v>674</v>
      </c>
      <c r="B195" s="217" t="s">
        <v>982</v>
      </c>
    </row>
  </sheetData>
  <customSheetViews>
    <customSheetView guid="{EEA7A97B-E2BF-43AD-B211-D284BEE221A1}" showRuler="0" topLeftCell="A16">
      <selection activeCell="D27" sqref="D27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1"/>
      <headerFooter alignWithMargins="0"/>
    </customSheetView>
    <customSheetView guid="{04F5F062-CD85-4BE7-B897-A8C5C601EF7B}" showRuler="0" topLeftCell="A16">
      <selection activeCell="I31" sqref="I31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2"/>
      <headerFooter alignWithMargins="0"/>
    </customSheetView>
  </customSheetViews>
  <phoneticPr fontId="21" type="noConversion"/>
  <printOptions gridLines="1"/>
  <pageMargins left="0.78740157480314965" right="0.78740157480314965" top="0.19685039370078741" bottom="0.19685039370078741" header="0.51181102362204722" footer="0.31496062992125984"/>
  <pageSetup paperSize="9" orientation="portrait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91"/>
  <dimension ref="A1:BC7"/>
  <sheetViews>
    <sheetView topLeftCell="C1" workbookViewId="0">
      <selection activeCell="K2" sqref="K2"/>
    </sheetView>
  </sheetViews>
  <sheetFormatPr baseColWidth="10" defaultRowHeight="12.75" x14ac:dyDescent="0.2"/>
  <cols>
    <col min="1" max="1" width="5.85546875" customWidth="1"/>
    <col min="2" max="2" width="8.42578125" customWidth="1"/>
    <col min="3" max="3" width="7" customWidth="1"/>
    <col min="4" max="4" width="5" customWidth="1"/>
    <col min="5" max="5" width="17.7109375" customWidth="1"/>
    <col min="6" max="6" width="21.85546875" customWidth="1"/>
    <col min="7" max="7" width="9.42578125" customWidth="1"/>
    <col min="8" max="8" width="9.5703125" customWidth="1"/>
    <col min="9" max="9" width="5.28515625" customWidth="1"/>
    <col min="10" max="10" width="17.28515625" customWidth="1"/>
    <col min="11" max="11" width="8" customWidth="1"/>
    <col min="12" max="12" width="14.5703125" customWidth="1"/>
    <col min="13" max="13" width="8" customWidth="1"/>
    <col min="14" max="14" width="17.5703125" customWidth="1"/>
    <col min="15" max="15" width="13.85546875" customWidth="1"/>
    <col min="16" max="16" width="15.5703125" customWidth="1"/>
    <col min="17" max="17" width="16.28515625" customWidth="1"/>
    <col min="18" max="18" width="21.85546875" customWidth="1"/>
    <col min="19" max="19" width="5.28515625" customWidth="1"/>
    <col min="20" max="20" width="22.42578125" customWidth="1"/>
    <col min="21" max="26" width="5.42578125" customWidth="1"/>
    <col min="27" max="27" width="5.7109375" customWidth="1"/>
    <col min="28" max="28" width="14.85546875" customWidth="1"/>
    <col min="29" max="29" width="6.28515625" customWidth="1"/>
    <col min="30" max="32" width="6.7109375" customWidth="1"/>
    <col min="33" max="33" width="5.28515625" customWidth="1"/>
    <col min="35" max="35" width="15.140625" customWidth="1"/>
  </cols>
  <sheetData>
    <row r="1" spans="1:55" s="4" customFormat="1" ht="51.75" customHeight="1" x14ac:dyDescent="0.2">
      <c r="A1" s="45" t="s">
        <v>97</v>
      </c>
      <c r="B1" s="55" t="s">
        <v>165</v>
      </c>
      <c r="C1" s="55" t="s">
        <v>163</v>
      </c>
      <c r="D1" s="56" t="s">
        <v>92</v>
      </c>
      <c r="E1" s="46" t="s">
        <v>89</v>
      </c>
      <c r="F1" s="46" t="s">
        <v>167</v>
      </c>
      <c r="G1" s="47" t="s">
        <v>52</v>
      </c>
      <c r="H1" s="47" t="s">
        <v>53</v>
      </c>
      <c r="I1" s="48" t="s">
        <v>51</v>
      </c>
      <c r="J1" s="46" t="s">
        <v>93</v>
      </c>
      <c r="K1" s="49" t="s">
        <v>39</v>
      </c>
      <c r="L1" s="50" t="s">
        <v>40</v>
      </c>
      <c r="M1" s="50" t="s">
        <v>48</v>
      </c>
      <c r="N1" s="50" t="s">
        <v>46</v>
      </c>
      <c r="O1" s="50" t="s">
        <v>98</v>
      </c>
      <c r="P1" s="50" t="s">
        <v>49</v>
      </c>
      <c r="Q1" s="45" t="s">
        <v>41</v>
      </c>
      <c r="R1" s="46" t="s">
        <v>50</v>
      </c>
      <c r="S1" s="51" t="s">
        <v>166</v>
      </c>
      <c r="T1" s="51" t="s">
        <v>75</v>
      </c>
      <c r="U1" s="52" t="s">
        <v>72</v>
      </c>
      <c r="V1" s="43" t="s">
        <v>74</v>
      </c>
      <c r="W1" s="43" t="s">
        <v>73</v>
      </c>
      <c r="X1" s="43" t="s">
        <v>94</v>
      </c>
      <c r="Y1" s="43" t="s">
        <v>95</v>
      </c>
      <c r="Z1" s="43" t="s">
        <v>178</v>
      </c>
      <c r="AA1" s="43" t="s">
        <v>142</v>
      </c>
      <c r="AB1" s="51" t="s">
        <v>96</v>
      </c>
      <c r="AC1" s="53" t="s">
        <v>110</v>
      </c>
      <c r="AD1" s="53" t="s">
        <v>175</v>
      </c>
      <c r="AE1" s="53" t="s">
        <v>176</v>
      </c>
      <c r="AF1" s="53" t="s">
        <v>164</v>
      </c>
      <c r="AG1" s="53" t="s">
        <v>177</v>
      </c>
      <c r="AH1" s="53" t="s">
        <v>150</v>
      </c>
      <c r="AI1" s="53" t="s">
        <v>162</v>
      </c>
      <c r="AJ1" s="53" t="s">
        <v>153</v>
      </c>
      <c r="AK1" s="54" t="s">
        <v>111</v>
      </c>
      <c r="AL1" s="54" t="s">
        <v>102</v>
      </c>
      <c r="AM1" s="54" t="s">
        <v>103</v>
      </c>
      <c r="AN1" s="28" t="s">
        <v>169</v>
      </c>
      <c r="AO1" s="54" t="s">
        <v>111</v>
      </c>
      <c r="AP1" s="54" t="s">
        <v>102</v>
      </c>
      <c r="AQ1" s="54" t="s">
        <v>103</v>
      </c>
      <c r="AR1" s="28" t="s">
        <v>170</v>
      </c>
      <c r="AS1" s="54" t="s">
        <v>111</v>
      </c>
      <c r="AT1" s="54" t="s">
        <v>102</v>
      </c>
      <c r="AU1" s="54" t="s">
        <v>103</v>
      </c>
      <c r="AV1" s="43" t="s">
        <v>155</v>
      </c>
      <c r="AW1" s="54" t="s">
        <v>111</v>
      </c>
      <c r="AX1" s="54" t="s">
        <v>102</v>
      </c>
      <c r="AY1" s="54" t="s">
        <v>103</v>
      </c>
      <c r="AZ1" s="53" t="s">
        <v>154</v>
      </c>
      <c r="BA1" s="54" t="s">
        <v>111</v>
      </c>
      <c r="BB1" s="54" t="s">
        <v>102</v>
      </c>
      <c r="BC1" s="54" t="s">
        <v>103</v>
      </c>
    </row>
    <row r="2" spans="1:55" s="21" customFormat="1" ht="51" x14ac:dyDescent="0.2">
      <c r="A2" s="21">
        <f>DokuBogen!AE1</f>
        <v>0</v>
      </c>
      <c r="B2" s="22">
        <f>DokuBogen!AC4</f>
        <v>0</v>
      </c>
      <c r="C2" s="57">
        <f>DokuBogen!AB46</f>
        <v>0</v>
      </c>
      <c r="D2" s="21" t="e">
        <f>#REF!</f>
        <v>#REF!</v>
      </c>
      <c r="E2" s="23">
        <f>'Anmeldeformular2022-3'!I10</f>
        <v>0</v>
      </c>
      <c r="F2" s="25">
        <f>'Anmeldeformular2022-3'!I30</f>
        <v>0</v>
      </c>
      <c r="G2" s="24" t="e">
        <f>'Anmeldeformular2022-3'!#REF!</f>
        <v>#REF!</v>
      </c>
      <c r="H2" s="24" t="e">
        <f>'Anmeldeformular2022-3'!#REF!</f>
        <v>#REF!</v>
      </c>
      <c r="I2" s="24" t="e">
        <f>#REF!</f>
        <v>#REF!</v>
      </c>
      <c r="J2" s="25" t="e">
        <f>'Anmeldeformular2022-3'!#REF!</f>
        <v>#REF!</v>
      </c>
      <c r="K2" s="25" t="e">
        <f>'Anmeldeformular2022-3'!#REF!</f>
        <v>#REF!</v>
      </c>
      <c r="L2" s="25" t="e">
        <f>'Anmeldeformular2022-3'!#REF!</f>
        <v>#REF!</v>
      </c>
      <c r="M2" s="25" t="e">
        <f>'Anmeldeformular2022-3'!#REF!</f>
        <v>#REF!</v>
      </c>
      <c r="N2" s="25" t="e">
        <f>'Anmeldeformular2022-3'!#REF!</f>
        <v>#REF!</v>
      </c>
      <c r="O2" s="25" t="e">
        <f>'Anmeldeformular2022-3'!#REF!</f>
        <v>#REF!</v>
      </c>
      <c r="P2" s="26" t="e">
        <f>'Anmeldeformular2022-3'!#REF!</f>
        <v>#REF!</v>
      </c>
      <c r="Q2" s="25" t="e">
        <f>'Anmeldeformular2022-3'!#REF!</f>
        <v>#REF!</v>
      </c>
      <c r="R2" s="25">
        <f>'Anmeldeformular2022-3'!I28</f>
        <v>0</v>
      </c>
      <c r="S2" s="27" t="e">
        <f>#REF!</f>
        <v>#REF!</v>
      </c>
      <c r="T2" s="25" t="e">
        <f>#REF!</f>
        <v>#REF!</v>
      </c>
      <c r="U2" s="58" t="str">
        <f>'Anmeldeformular2022-3'!B51</f>
        <v>davon nicht-binär</v>
      </c>
      <c r="V2" s="58">
        <f>'Anmeldeformular2022-3'!H51</f>
        <v>0</v>
      </c>
      <c r="W2" s="58">
        <f>'Anmeldeformular2022-3'!H52</f>
        <v>0</v>
      </c>
      <c r="X2" s="59">
        <f>'Anmeldeformular2022-3'!X48</f>
        <v>0</v>
      </c>
      <c r="Y2" s="58">
        <f>'Anmeldeformular2022-3'!X49</f>
        <v>0</v>
      </c>
      <c r="Z2" s="58">
        <f>'Anmeldeformular2022-3'!X50</f>
        <v>0</v>
      </c>
      <c r="AA2" s="58">
        <f>'Anmeldeformular2022-3'!H53</f>
        <v>0</v>
      </c>
      <c r="AB2" s="23" t="e">
        <f>#REF!</f>
        <v>#REF!</v>
      </c>
      <c r="AC2" s="58" t="e">
        <f>#REF!</f>
        <v>#REF!</v>
      </c>
      <c r="AD2" s="61" t="e">
        <f>#REF!</f>
        <v>#REF!</v>
      </c>
      <c r="AE2" s="61" t="e">
        <f>#REF!</f>
        <v>#REF!</v>
      </c>
      <c r="AF2" s="27" t="e">
        <f>#REF!</f>
        <v>#REF!</v>
      </c>
      <c r="AG2" s="27" t="e">
        <f>#REF!</f>
        <v>#REF!</v>
      </c>
      <c r="AH2" s="60" t="e">
        <f>#REF!</f>
        <v>#REF!</v>
      </c>
      <c r="AI2" s="60" t="e">
        <f>#REF!</f>
        <v>#REF!</v>
      </c>
      <c r="AJ2" s="58">
        <f>'Anmeldeformular2022-3'!M61</f>
        <v>0</v>
      </c>
      <c r="AK2" s="58">
        <f>'Anmeldeformular2022-3'!P61</f>
        <v>0</v>
      </c>
      <c r="AL2" s="58">
        <f>'Anmeldeformular2022-3'!S61</f>
        <v>0</v>
      </c>
      <c r="AM2" s="58">
        <f>'Anmeldeformular2022-3'!V73</f>
        <v>0</v>
      </c>
      <c r="AN2" s="58">
        <f>'Anmeldeformular2022-3'!R75</f>
        <v>0</v>
      </c>
      <c r="AO2" s="58">
        <f>'Anmeldeformular2022-3'!U75</f>
        <v>0</v>
      </c>
      <c r="AP2" s="58" t="e">
        <f>'Anmeldeformular2022-3'!#REF!</f>
        <v>#REF!</v>
      </c>
      <c r="AQ2" s="58" t="e">
        <f>'Anmeldeformular2022-3'!#REF!</f>
        <v>#REF!</v>
      </c>
      <c r="AR2" s="58">
        <f>'Anmeldeformular2022-3'!R76</f>
        <v>0</v>
      </c>
      <c r="AS2" s="58">
        <f>'Anmeldeformular2022-3'!U76</f>
        <v>0</v>
      </c>
      <c r="AT2" s="58" t="e">
        <f>'Anmeldeformular2022-3'!#REF!</f>
        <v>#REF!</v>
      </c>
      <c r="AU2" s="58" t="e">
        <f>'Anmeldeformular2022-3'!#REF!</f>
        <v>#REF!</v>
      </c>
      <c r="AV2" s="58">
        <f>AN2+AR2</f>
        <v>0</v>
      </c>
      <c r="AW2" s="58">
        <f>AO2+AS2</f>
        <v>0</v>
      </c>
      <c r="AX2" s="58" t="e">
        <f>AP2+AT2</f>
        <v>#REF!</v>
      </c>
      <c r="AY2" s="58" t="e">
        <f>AQ2+AU2</f>
        <v>#REF!</v>
      </c>
      <c r="AZ2" s="3">
        <f>SUM('Anmeldeformular2022-3'!R62:R74)</f>
        <v>0</v>
      </c>
      <c r="BA2" s="3">
        <f>SUM('Anmeldeformular2022-3'!U62:U74)</f>
        <v>0</v>
      </c>
      <c r="BB2" s="3">
        <f>SUM('Anmeldeformular2022-3'!X68:X78)</f>
        <v>0</v>
      </c>
      <c r="BC2" s="3">
        <f>SUM('Anmeldeformular2022-3'!AA74:AA79)</f>
        <v>0</v>
      </c>
    </row>
    <row r="3" spans="1:55" x14ac:dyDescent="0.2">
      <c r="AC3" s="3"/>
      <c r="AD3" s="3"/>
      <c r="AE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5" spans="1:55" s="1" customFormat="1" ht="15" x14ac:dyDescent="0.2"/>
    <row r="6" spans="1:55" s="2" customFormat="1" x14ac:dyDescent="0.2"/>
    <row r="7" spans="1:55" s="2" customFormat="1" x14ac:dyDescent="0.2"/>
  </sheetData>
  <customSheetViews>
    <customSheetView guid="{EEA7A97B-E2BF-43AD-B211-D284BEE221A1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04F5F062-CD85-4BE7-B897-A8C5C601EF7B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/>
  <dimension ref="A1"/>
  <sheetViews>
    <sheetView workbookViewId="0"/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:H69"/>
  <sheetViews>
    <sheetView topLeftCell="A7" workbookViewId="0">
      <selection activeCell="D34" sqref="D34"/>
    </sheetView>
  </sheetViews>
  <sheetFormatPr baseColWidth="10" defaultRowHeight="12.75" x14ac:dyDescent="0.2"/>
  <cols>
    <col min="1" max="1" width="41.140625" style="2" customWidth="1"/>
    <col min="2" max="2" width="15.5703125" style="79" customWidth="1"/>
    <col min="3" max="3" width="31.5703125" style="2" customWidth="1"/>
    <col min="4" max="4" width="7" customWidth="1"/>
    <col min="5" max="5" width="31" customWidth="1"/>
    <col min="6" max="6" width="16.140625" customWidth="1"/>
    <col min="7" max="7" width="28.85546875" customWidth="1"/>
    <col min="8" max="8" width="8.42578125" customWidth="1"/>
  </cols>
  <sheetData>
    <row r="1" spans="1:8" s="135" customFormat="1" ht="28.5" thickBot="1" x14ac:dyDescent="0.45">
      <c r="A1" s="729" t="s">
        <v>613</v>
      </c>
      <c r="B1" s="729"/>
      <c r="C1" s="729"/>
      <c r="D1" s="729"/>
      <c r="E1" s="144"/>
      <c r="F1" s="144"/>
      <c r="G1" s="144"/>
      <c r="H1" s="144"/>
    </row>
    <row r="2" spans="1:8" s="4" customFormat="1" ht="20.25" x14ac:dyDescent="0.3">
      <c r="A2" s="145" t="s">
        <v>226</v>
      </c>
      <c r="B2" s="146"/>
      <c r="C2" s="145" t="s">
        <v>228</v>
      </c>
      <c r="D2" s="143"/>
    </row>
    <row r="3" spans="1:8" x14ac:dyDescent="0.2">
      <c r="A3" s="138" t="s">
        <v>926</v>
      </c>
      <c r="B3" s="139"/>
      <c r="C3" s="138" t="s">
        <v>227</v>
      </c>
      <c r="D3" s="141"/>
    </row>
    <row r="4" spans="1:8" x14ac:dyDescent="0.2">
      <c r="A4" s="250" t="s">
        <v>927</v>
      </c>
      <c r="B4" s="155" t="str">
        <f>IF(LEN(Tname)&gt;0,"ok","fehlt")</f>
        <v>fehlt</v>
      </c>
      <c r="C4" s="140" t="s">
        <v>174</v>
      </c>
      <c r="D4" s="155" t="str">
        <f>IF(LEN(Ptitel)&gt;0,"ok","fehlt")</f>
        <v>fehlt</v>
      </c>
    </row>
    <row r="5" spans="1:8" x14ac:dyDescent="0.2">
      <c r="A5" s="140" t="s">
        <v>93</v>
      </c>
      <c r="B5" s="155" t="str">
        <f>IF(LEN(Tstraße)&gt;0,"ok","fehlt")</f>
        <v>fehlt</v>
      </c>
      <c r="C5" s="140" t="s">
        <v>52</v>
      </c>
      <c r="D5" s="155" t="str">
        <f>IF(Ende&gt;1,"ok","fehlt")</f>
        <v>fehlt</v>
      </c>
    </row>
    <row r="6" spans="1:8" x14ac:dyDescent="0.2">
      <c r="A6" s="140" t="s">
        <v>39</v>
      </c>
      <c r="B6" s="155" t="str">
        <f>IF(LEN(Tplz)&gt;0,"ok","fehlt")</f>
        <v>fehlt</v>
      </c>
      <c r="C6" s="140" t="s">
        <v>53</v>
      </c>
      <c r="D6" s="155" t="str">
        <f>IF(Beginn&gt;1,"ok","fehlt")</f>
        <v>fehlt</v>
      </c>
    </row>
    <row r="7" spans="1:8" x14ac:dyDescent="0.2">
      <c r="A7" s="140" t="s">
        <v>40</v>
      </c>
      <c r="B7" s="155" t="str">
        <f>IF(LEN(Tort)&gt;0,"ok","fehlt")</f>
        <v>fehlt</v>
      </c>
      <c r="C7" s="138" t="s">
        <v>43</v>
      </c>
      <c r="D7" s="155"/>
    </row>
    <row r="8" spans="1:8" x14ac:dyDescent="0.2">
      <c r="A8" s="140" t="s">
        <v>49</v>
      </c>
      <c r="B8" s="155" t="str">
        <f>IF(LEN(Ttel)&gt;0,"ok","fehlt")</f>
        <v>fehlt</v>
      </c>
      <c r="C8" s="140" t="s">
        <v>548</v>
      </c>
      <c r="D8" s="155" t="str">
        <f>IF(edwdAuswahl&gt;0,"ok","fehlt")</f>
        <v>ok</v>
      </c>
    </row>
    <row r="9" spans="1:8" ht="17.25" customHeight="1" x14ac:dyDescent="0.2">
      <c r="A9" s="140" t="s">
        <v>50</v>
      </c>
      <c r="B9" s="155" t="str">
        <f>IF(LEN(Temail)&gt;0,"ok","fehlt")</f>
        <v>fehlt</v>
      </c>
      <c r="C9" s="138" t="s">
        <v>112</v>
      </c>
      <c r="D9" s="155"/>
    </row>
    <row r="10" spans="1:8" x14ac:dyDescent="0.2">
      <c r="A10" s="140"/>
      <c r="B10" s="158"/>
      <c r="C10" s="140" t="s">
        <v>291</v>
      </c>
      <c r="D10" s="155" t="str">
        <f>IF(GKAuswahl&gt;1,"ok","fehlt")</f>
        <v>fehlt</v>
      </c>
    </row>
    <row r="11" spans="1:8" ht="25.5" x14ac:dyDescent="0.2">
      <c r="A11" s="138" t="s">
        <v>222</v>
      </c>
      <c r="B11" s="155"/>
      <c r="C11" s="138" t="s">
        <v>932</v>
      </c>
      <c r="D11" s="155"/>
    </row>
    <row r="12" spans="1:8" x14ac:dyDescent="0.2">
      <c r="A12" s="140" t="s">
        <v>48</v>
      </c>
      <c r="B12" s="155" t="str">
        <f>IF(LEN(Ltganrede)&gt;0,"ok","fehlt")</f>
        <v>fehlt</v>
      </c>
      <c r="C12" s="140"/>
      <c r="D12" s="155"/>
    </row>
    <row r="13" spans="1:8" x14ac:dyDescent="0.2">
      <c r="A13" s="140" t="s">
        <v>46</v>
      </c>
      <c r="B13" s="155" t="str">
        <f>IF(LEN(ltgname)&gt;0,"ok","fehlt")</f>
        <v>fehlt</v>
      </c>
      <c r="C13" s="250" t="s">
        <v>933</v>
      </c>
      <c r="D13" s="155" t="str">
        <f ca="1">IF(LEFT(Aktion,5)="Bitte","fehlt","ok")</f>
        <v>ok</v>
      </c>
    </row>
    <row r="14" spans="1:8" x14ac:dyDescent="0.2">
      <c r="A14" s="140" t="s">
        <v>98</v>
      </c>
      <c r="B14" s="155" t="str">
        <f>IF(LEN(ltgvorname)&gt;0,"ok","fehlt")</f>
        <v>fehlt</v>
      </c>
      <c r="C14" s="250" t="s">
        <v>783</v>
      </c>
      <c r="D14" s="155" t="str">
        <f ca="1">IF(LEFT(Fansatz,5)="Bitte","fehlt","ok")</f>
        <v>ok</v>
      </c>
    </row>
    <row r="15" spans="1:8" x14ac:dyDescent="0.2">
      <c r="A15" s="138" t="s">
        <v>367</v>
      </c>
      <c r="B15" s="155"/>
      <c r="C15" s="140"/>
      <c r="D15" s="155"/>
    </row>
    <row r="16" spans="1:8" x14ac:dyDescent="0.2">
      <c r="A16" s="142" t="s">
        <v>48</v>
      </c>
      <c r="B16" s="155" t="str">
        <f>IF(LEN(Anspranrede)&gt;0,"ok","fehlt")</f>
        <v>fehlt</v>
      </c>
      <c r="C16" s="140" t="s">
        <v>47</v>
      </c>
      <c r="D16" s="155" t="str">
        <f>IF(ZGauswahl&gt;1,"ok","fehlt")</f>
        <v>ok</v>
      </c>
    </row>
    <row r="17" spans="1:4" x14ac:dyDescent="0.2">
      <c r="A17" s="142" t="s">
        <v>46</v>
      </c>
      <c r="B17" s="155" t="str">
        <f>IF(LEN(Ansprname)&gt;0,"ok","fehlt")</f>
        <v>fehlt</v>
      </c>
      <c r="C17" s="138" t="s">
        <v>141</v>
      </c>
      <c r="D17" s="155"/>
    </row>
    <row r="18" spans="1:4" x14ac:dyDescent="0.2">
      <c r="A18" s="142" t="s">
        <v>98</v>
      </c>
      <c r="B18" s="155" t="str">
        <f>IF(LEN(ansprvorname)&gt;0,"ok","fehlt")</f>
        <v>fehlt</v>
      </c>
      <c r="C18" s="140" t="s">
        <v>369</v>
      </c>
      <c r="D18" s="155" t="str">
        <f>IF(LEN(TNpl)&gt;0,"ok","fehlt")</f>
        <v>fehlt</v>
      </c>
    </row>
    <row r="19" spans="1:4" x14ac:dyDescent="0.2">
      <c r="A19" s="142" t="s">
        <v>206</v>
      </c>
      <c r="B19" s="155" t="str">
        <f>IF(LEN(ansprtel)&gt;0,"ok","fehlt")</f>
        <v>fehlt</v>
      </c>
      <c r="C19" s="140" t="s">
        <v>368</v>
      </c>
      <c r="D19" s="155" t="str">
        <f>IF(LEN(TNanz)&gt;0,"ok","fehlt")</f>
        <v>fehlt</v>
      </c>
    </row>
    <row r="20" spans="1:4" x14ac:dyDescent="0.2">
      <c r="A20" s="142" t="s">
        <v>50</v>
      </c>
      <c r="B20" s="155" t="str">
        <f>IF(LEN(ansprmail)&gt;0,"ok","fehlt")</f>
        <v>fehlt</v>
      </c>
      <c r="C20" s="140" t="s">
        <v>45</v>
      </c>
      <c r="D20" s="155" t="str">
        <f>IF(LEN(TNwbl)&gt;0,"ok","fehlt")</f>
        <v>fehlt</v>
      </c>
    </row>
    <row r="21" spans="1:4" x14ac:dyDescent="0.2">
      <c r="A21" s="138" t="s">
        <v>223</v>
      </c>
      <c r="B21" s="155"/>
      <c r="C21" s="140" t="s">
        <v>44</v>
      </c>
      <c r="D21" s="155" t="str">
        <f>IF(LEN(TNml)&gt;0,"ok","fehlt")</f>
        <v>fehlt</v>
      </c>
    </row>
    <row r="22" spans="1:4" x14ac:dyDescent="0.2">
      <c r="A22" s="142" t="s">
        <v>291</v>
      </c>
      <c r="B22" s="155" t="str">
        <f>IF(Akauswahl&gt;0,"ok","fehlt")</f>
        <v>fehlt</v>
      </c>
      <c r="C22" s="250" t="s">
        <v>955</v>
      </c>
      <c r="D22" s="155" t="str">
        <f>IF(LEN(TNnichtbinär)&gt;0,"ok","fehlt")</f>
        <v>fehlt</v>
      </c>
    </row>
    <row r="23" spans="1:4" ht="20.25" x14ac:dyDescent="0.3">
      <c r="A23" s="298" t="s">
        <v>229</v>
      </c>
      <c r="B23" s="299"/>
      <c r="C23" s="67"/>
      <c r="D23" s="155"/>
    </row>
    <row r="24" spans="1:4" x14ac:dyDescent="0.2">
      <c r="A24" s="296" t="s">
        <v>99</v>
      </c>
      <c r="B24" s="300"/>
      <c r="C24" s="67"/>
      <c r="D24" s="278"/>
    </row>
    <row r="25" spans="1:4" x14ac:dyDescent="0.2">
      <c r="A25" s="148" t="s">
        <v>77</v>
      </c>
      <c r="B25" s="300" t="str">
        <f>IF(kostges&gt;0,"ok","fehlt")</f>
        <v>fehlt</v>
      </c>
      <c r="C25" s="67"/>
      <c r="D25" s="278"/>
    </row>
    <row r="26" spans="1:4" ht="13.5" thickBot="1" x14ac:dyDescent="0.25">
      <c r="A26" s="301" t="s">
        <v>934</v>
      </c>
      <c r="B26" s="300" t="str">
        <f>IF(esfges&gt;0,"ok","fehlt")</f>
        <v>fehlt</v>
      </c>
      <c r="C26" s="213"/>
      <c r="D26" s="155"/>
    </row>
    <row r="27" spans="1:4" ht="20.25" x14ac:dyDescent="0.3">
      <c r="A27" s="296" t="s">
        <v>553</v>
      </c>
      <c r="B27" s="300"/>
      <c r="C27" s="214" t="s">
        <v>230</v>
      </c>
      <c r="D27" s="147"/>
    </row>
    <row r="28" spans="1:4" x14ac:dyDescent="0.2">
      <c r="A28" s="148" t="s">
        <v>609</v>
      </c>
      <c r="B28" s="300" t="str">
        <f>IF('Anmeldeformular2022-3'!M62=0,"nicht erforderlich",IF(LEN('Anmeldeformular2022-3'!H98)=0,"fehlt","ok"))</f>
        <v>nicht erforderlich</v>
      </c>
      <c r="C28" s="215" t="s">
        <v>231</v>
      </c>
      <c r="D28" s="139"/>
    </row>
    <row r="29" spans="1:4" ht="18.75" customHeight="1" x14ac:dyDescent="0.2">
      <c r="A29" s="148" t="s">
        <v>610</v>
      </c>
      <c r="B29" s="300" t="str">
        <f>IF('Anmeldeformular2022-3'!M62=0,"nicht erforderlich",IF(LEN('Anmeldeformular2022-3'!Q98)=0,"fehlt","ok"))</f>
        <v>nicht erforderlich</v>
      </c>
      <c r="C29" s="266" t="s">
        <v>764</v>
      </c>
      <c r="D29" s="156" t="str">
        <f>IF(LEN(Bedarf)&gt;0,"ok","fehlt")</f>
        <v>fehlt</v>
      </c>
    </row>
    <row r="30" spans="1:4" ht="17.25" customHeight="1" x14ac:dyDescent="0.2">
      <c r="A30" s="148" t="s">
        <v>611</v>
      </c>
      <c r="B30" s="300" t="str">
        <f>IF('Anmeldeformular2022-3'!M62=0,"nicht erforderlich",IF(LEN('Anmeldeformular2022-3'!Y98)=0,"fehlt","ok"))</f>
        <v>nicht erforderlich</v>
      </c>
      <c r="C30" s="266" t="s">
        <v>771</v>
      </c>
      <c r="D30" s="156" t="str">
        <f>IF(LEN(zielvorg)&gt;0,"ok","fehlt")</f>
        <v>fehlt</v>
      </c>
    </row>
    <row r="31" spans="1:4" ht="25.5" x14ac:dyDescent="0.2">
      <c r="A31" s="301" t="s">
        <v>962</v>
      </c>
      <c r="B31" s="300" t="str">
        <f>IF('Anmeldeformular2022-3'!M63=0,"nicht erforderlich",IF(LEN('Anmeldeformular2022-3'!H99)=0,"fehlt","ok"))</f>
        <v>nicht erforderlich</v>
      </c>
      <c r="C31" s="266" t="s">
        <v>772</v>
      </c>
      <c r="D31" s="156" t="str">
        <f>IF(LEN(Pstruktur)&gt;0,"ok","fehlt")</f>
        <v>fehlt</v>
      </c>
    </row>
    <row r="32" spans="1:4" ht="25.5" x14ac:dyDescent="0.2">
      <c r="A32" s="301" t="s">
        <v>963</v>
      </c>
      <c r="B32" s="300" t="str">
        <f>IF('Anmeldeformular2022-3'!M63=0,"nicht erforderlich",IF(LEN('Anmeldeformular2022-3'!Q99)=0,"fehlt","ok"))</f>
        <v>nicht erforderlich</v>
      </c>
      <c r="C32" s="266" t="s">
        <v>773</v>
      </c>
      <c r="D32" s="156" t="str">
        <f>IF(LEN(Indikatorik)&gt;0,"ok","fehlt")</f>
        <v>fehlt</v>
      </c>
    </row>
    <row r="33" spans="1:7" x14ac:dyDescent="0.2">
      <c r="A33" s="301" t="s">
        <v>964</v>
      </c>
      <c r="B33" s="300" t="str">
        <f>IF('Anmeldeformular2022-3'!M63=0,"nicht erforderlich",IF(LEN('Anmeldeformular2022-3'!Y99)=0,"fehlt","ok"))</f>
        <v>nicht erforderlich</v>
      </c>
      <c r="C33" s="266" t="s">
        <v>189</v>
      </c>
      <c r="D33" s="156" t="str">
        <f>IF(LEN(Koop)&gt;0,"ok","fehlt")</f>
        <v>fehlt</v>
      </c>
    </row>
    <row r="34" spans="1:7" x14ac:dyDescent="0.2">
      <c r="A34" s="301" t="s">
        <v>944</v>
      </c>
      <c r="B34" s="300" t="str">
        <f>IF('Anmeldeformular2022-3'!M64=0,"nicht erforderlich",IF(LEN('Anmeldeformular2022-3'!H100)=0,"fehlt","ok"))</f>
        <v>nicht erforderlich</v>
      </c>
      <c r="C34" s="266" t="s">
        <v>992</v>
      </c>
      <c r="D34" s="156" t="str">
        <f>IF(LEN(Corona)&gt;0,"ok","fehlt")</f>
        <v>fehlt</v>
      </c>
    </row>
    <row r="35" spans="1:7" ht="17.25" customHeight="1" x14ac:dyDescent="0.2">
      <c r="A35" s="301" t="s">
        <v>943</v>
      </c>
      <c r="B35" s="300" t="str">
        <f>IF('Anmeldeformular2022-3'!M64=0,"nicht erforderlich",IF(LEN('Anmeldeformular2022-3'!Q100)=0,"fehlt","ok"))</f>
        <v>nicht erforderlich</v>
      </c>
      <c r="C35" s="67"/>
      <c r="D35" s="156"/>
    </row>
    <row r="36" spans="1:7" x14ac:dyDescent="0.2">
      <c r="A36" s="301" t="s">
        <v>945</v>
      </c>
      <c r="B36" s="300" t="str">
        <f>IF('Anmeldeformular2022-3'!M64=0,"nicht erforderlich",IF(LEN('Anmeldeformular2022-3'!Y100)=0,"fehlt","ok"))</f>
        <v>nicht erforderlich</v>
      </c>
      <c r="C36" s="67"/>
      <c r="D36" s="156"/>
    </row>
    <row r="37" spans="1:7" x14ac:dyDescent="0.2">
      <c r="A37" s="301" t="s">
        <v>892</v>
      </c>
      <c r="B37" s="300" t="str">
        <f>IF('Anmeldeformular2022-3'!M65=0,"nicht erforderlich",IF(LEN('Anmeldeformular2022-3'!H101)=0,"fehlt","ok"))</f>
        <v>nicht erforderlich</v>
      </c>
      <c r="C37" s="215" t="s">
        <v>149</v>
      </c>
      <c r="D37" s="156"/>
    </row>
    <row r="38" spans="1:7" x14ac:dyDescent="0.2">
      <c r="A38" s="301" t="s">
        <v>893</v>
      </c>
      <c r="B38" s="300" t="str">
        <f>IF('Anmeldeformular2022-3'!M65=0,"nicht erforderlich",IF(LEN('Anmeldeformular2022-3'!Q101)=0,"fehlt","ok"))</f>
        <v>nicht erforderlich</v>
      </c>
      <c r="C38" s="67" t="s">
        <v>552</v>
      </c>
      <c r="D38" s="156" t="str">
        <f>IF(Chancengleichheitauswahl&gt;0,"ok","fehlt")</f>
        <v>fehlt</v>
      </c>
    </row>
    <row r="39" spans="1:7" x14ac:dyDescent="0.2">
      <c r="A39" s="301" t="s">
        <v>894</v>
      </c>
      <c r="B39" s="300" t="str">
        <f>IF('Anmeldeformular2022-3'!M65=0,"nicht erforderlich",IF(LEN('Anmeldeformular2022-3'!Y101)=0,"fehlt","ok"))</f>
        <v>nicht erforderlich</v>
      </c>
      <c r="C39" s="266" t="s">
        <v>863</v>
      </c>
      <c r="D39" s="156" t="str">
        <f>IF(Nachhaltigoekoauswahl&gt;0,"ok","fehlt")</f>
        <v>fehlt</v>
      </c>
    </row>
    <row r="40" spans="1:7" x14ac:dyDescent="0.2">
      <c r="A40" s="301" t="s">
        <v>889</v>
      </c>
      <c r="B40" s="300" t="str">
        <f>IF('Anmeldeformular2022-3'!M66=0,"nicht erforderlich",IF(LEN('Anmeldeformular2022-3'!H102)=0,"fehlt","ok"))</f>
        <v>nicht erforderlich</v>
      </c>
      <c r="C40" s="67" t="s">
        <v>862</v>
      </c>
      <c r="D40" s="156" t="str">
        <f>IF(Nachhaltigoekoloauswahl&gt;0,"ok","fehlt")</f>
        <v>fehlt</v>
      </c>
    </row>
    <row r="41" spans="1:7" x14ac:dyDescent="0.2">
      <c r="A41" s="301" t="s">
        <v>890</v>
      </c>
      <c r="B41" s="300" t="str">
        <f>IF('Anmeldeformular2022-3'!M66=0,"nicht erforderlich",IF(LEN('Anmeldeformular2022-3'!Q102)=0,"fehlt","ok"))</f>
        <v>nicht erforderlich</v>
      </c>
      <c r="C41" s="67" t="s">
        <v>861</v>
      </c>
      <c r="D41" s="156" t="str">
        <f>IF(Nachhaltigsozialauswahl&gt;0,"ok","fehlt")</f>
        <v>fehlt</v>
      </c>
    </row>
    <row r="42" spans="1:7" x14ac:dyDescent="0.2">
      <c r="A42" s="301" t="s">
        <v>891</v>
      </c>
      <c r="B42" s="300" t="str">
        <f>IF('Anmeldeformular2022-3'!M66=0,"nicht erforderlich",IF(LEN('Anmeldeformular2022-3'!Y102)=0,"fehlt","ok"))</f>
        <v>nicht erforderlich</v>
      </c>
      <c r="C42" s="67" t="s">
        <v>213</v>
      </c>
      <c r="D42" s="156" t="str">
        <f>IF(Transnationalauswahl&gt;0,"ok","fehlt")</f>
        <v>fehlt</v>
      </c>
    </row>
    <row r="43" spans="1:7" x14ac:dyDescent="0.2">
      <c r="A43" s="301" t="s">
        <v>946</v>
      </c>
      <c r="B43" s="300" t="str">
        <f>IF('Anmeldeformular2022-3'!M67=0,"nicht erforderlich",IF(LEN('Anmeldeformular2022-3'!H103)=0,"fehlt","ok"))</f>
        <v>nicht erforderlich</v>
      </c>
      <c r="C43" s="67" t="s">
        <v>549</v>
      </c>
      <c r="D43" s="156" t="str">
        <f>IF(LEN(Quersch)&gt;0,"ok","fehlt")</f>
        <v>fehlt</v>
      </c>
    </row>
    <row r="44" spans="1:7" ht="25.5" x14ac:dyDescent="0.2">
      <c r="A44" s="301" t="s">
        <v>947</v>
      </c>
      <c r="B44" s="300" t="str">
        <f>IF('Anmeldeformular2022-3'!M67=0,"nicht erforderlich",IF(LEN('Anmeldeformular2022-3'!Q103)=0,"fehlt","ok"))</f>
        <v>nicht erforderlich</v>
      </c>
      <c r="C44" s="67" t="s">
        <v>550</v>
      </c>
      <c r="D44" s="156" t="str">
        <f>IF(Entschuldung&gt;0,"ok","fehlt")</f>
        <v>fehlt</v>
      </c>
    </row>
    <row r="45" spans="1:7" ht="13.5" thickBot="1" x14ac:dyDescent="0.25">
      <c r="A45" s="301" t="s">
        <v>948</v>
      </c>
      <c r="B45" s="300" t="str">
        <f>IF('Anmeldeformular2022-3'!M67=0,"nicht erforderlich",IF(LEN('Anmeldeformular2022-3'!Y103)=0,"fehlt","ok"))</f>
        <v>nicht erforderlich</v>
      </c>
      <c r="C45" s="213" t="s">
        <v>551</v>
      </c>
      <c r="D45" s="157" t="str">
        <f>IF(EuropaIch&gt;0,"ok","fehlt")</f>
        <v>fehlt</v>
      </c>
      <c r="G45" s="2"/>
    </row>
    <row r="46" spans="1:7" x14ac:dyDescent="0.2">
      <c r="A46" s="265" t="s">
        <v>828</v>
      </c>
      <c r="B46" s="300" t="str">
        <f>IF('Anmeldeformular2022-3'!M68=0,"nicht erforderlich",IF(LEN('Anmeldeformular2022-3'!H104)=0,"fehlt","ok"))</f>
        <v>nicht erforderlich</v>
      </c>
      <c r="C46" s="67"/>
      <c r="D46" s="156"/>
    </row>
    <row r="47" spans="1:7" x14ac:dyDescent="0.2">
      <c r="A47" s="265" t="s">
        <v>847</v>
      </c>
      <c r="B47" s="300" t="str">
        <f>IF('Anmeldeformular2022-3'!M68=0,"nicht erforderlich",IF(LEN('Anmeldeformular2022-3'!Q104)=0,"fehlt","ok"))</f>
        <v>nicht erforderlich</v>
      </c>
      <c r="C47" s="67"/>
      <c r="D47" s="156"/>
    </row>
    <row r="48" spans="1:7" ht="13.5" thickBot="1" x14ac:dyDescent="0.25">
      <c r="A48" s="265" t="s">
        <v>848</v>
      </c>
      <c r="B48" s="300" t="str">
        <f>IF('Anmeldeformular2022-3'!M68=0,"nicht erforderlich",IF(LEN('Anmeldeformular2022-3'!Y104)=0,"fehlt","ok"))</f>
        <v>nicht erforderlich</v>
      </c>
      <c r="C48" s="213"/>
      <c r="D48" s="157"/>
    </row>
    <row r="49" spans="1:4" x14ac:dyDescent="0.2">
      <c r="A49" s="265" t="s">
        <v>886</v>
      </c>
      <c r="B49" s="300" t="str">
        <f>IF('Anmeldeformular2022-3'!M69=0,"nicht erforderlich",IF(LEN('Anmeldeformular2022-3'!H105)=0,"fehlt","ok"))</f>
        <v>nicht erforderlich</v>
      </c>
      <c r="C49" s="67"/>
      <c r="D49" s="295"/>
    </row>
    <row r="50" spans="1:4" x14ac:dyDescent="0.2">
      <c r="A50" s="265" t="s">
        <v>887</v>
      </c>
      <c r="B50" s="300" t="str">
        <f>IF('Anmeldeformular2022-3'!M69=0,"nicht erforderlich",IF(LEN('Anmeldeformular2022-3'!Q105)=0,"fehlt","ok"))</f>
        <v>nicht erforderlich</v>
      </c>
      <c r="C50" s="67"/>
      <c r="D50" s="295"/>
    </row>
    <row r="51" spans="1:4" x14ac:dyDescent="0.2">
      <c r="A51" s="265" t="s">
        <v>888</v>
      </c>
      <c r="B51" s="300" t="str">
        <f>IF('Anmeldeformular2022-3'!M69=0,"nicht erforderlich",IF(LEN('Anmeldeformular2022-3'!Y105)=0,"fehlt","ok"))</f>
        <v>nicht erforderlich</v>
      </c>
      <c r="C51" s="67"/>
      <c r="D51" s="295"/>
    </row>
    <row r="52" spans="1:4" x14ac:dyDescent="0.2">
      <c r="A52" s="301" t="s">
        <v>761</v>
      </c>
      <c r="B52" s="300" t="str">
        <f>IF('Anmeldeformular2022-3'!M70=0,"nicht erforderlich",IF(LEN('Anmeldeformular2022-3'!H106)=0,"fehlt","ok"))</f>
        <v>nicht erforderlich</v>
      </c>
      <c r="C52" s="67"/>
      <c r="D52" s="295"/>
    </row>
    <row r="53" spans="1:4" x14ac:dyDescent="0.2">
      <c r="A53" s="301" t="s">
        <v>849</v>
      </c>
      <c r="B53" s="300" t="str">
        <f>IF('Anmeldeformular2022-3'!M70=0,"nicht erforderlich",IF(LEN('Anmeldeformular2022-3'!Q106)=0,"fehlt","ok"))</f>
        <v>nicht erforderlich</v>
      </c>
      <c r="C53" s="67"/>
      <c r="D53" s="295"/>
    </row>
    <row r="54" spans="1:4" x14ac:dyDescent="0.2">
      <c r="A54" s="301" t="s">
        <v>851</v>
      </c>
      <c r="B54" s="300" t="str">
        <f>IF('Anmeldeformular2022-3'!M70=0,"nicht erforderlich",IF(LEN('Anmeldeformular2022-3'!Y106)=0,"fehlt","ok"))</f>
        <v>nicht erforderlich</v>
      </c>
      <c r="C54" s="67"/>
      <c r="D54" s="295"/>
    </row>
    <row r="55" spans="1:4" x14ac:dyDescent="0.2">
      <c r="A55" s="301" t="s">
        <v>760</v>
      </c>
      <c r="B55" s="300" t="str">
        <f>IF('Anmeldeformular2022-3'!M71=0,"nicht erforderlich",IF(LEN('Anmeldeformular2022-3'!H107)=0,"fehlt","ok"))</f>
        <v>nicht erforderlich</v>
      </c>
      <c r="C55" s="67"/>
      <c r="D55" s="295"/>
    </row>
    <row r="56" spans="1:4" x14ac:dyDescent="0.2">
      <c r="A56" s="301" t="s">
        <v>850</v>
      </c>
      <c r="B56" s="300" t="str">
        <f>IF('Anmeldeformular2022-3'!M71=0,"nicht erforderlich",IF(LEN('Anmeldeformular2022-3'!Q107)=0,"fehlt","ok"))</f>
        <v>nicht erforderlich</v>
      </c>
      <c r="C56" s="67"/>
      <c r="D56" s="295"/>
    </row>
    <row r="57" spans="1:4" x14ac:dyDescent="0.2">
      <c r="A57" s="301" t="s">
        <v>854</v>
      </c>
      <c r="B57" s="300" t="str">
        <f>IF('Anmeldeformular2022-3'!M71=0,"nicht erforderlich",IF(LEN('Anmeldeformular2022-3'!Y107)=0,"fehlt","ok"))</f>
        <v>nicht erforderlich</v>
      </c>
      <c r="C57" s="67"/>
      <c r="D57" s="295"/>
    </row>
    <row r="58" spans="1:4" x14ac:dyDescent="0.2">
      <c r="A58" s="301" t="s">
        <v>829</v>
      </c>
      <c r="B58" s="300" t="str">
        <f>IF('Anmeldeformular2022-3'!M72=0,"nicht erforderlich",IF(LEN('Anmeldeformular2022-3'!H108)=0,"fehlt","ok"))</f>
        <v>nicht erforderlich</v>
      </c>
    </row>
    <row r="59" spans="1:4" x14ac:dyDescent="0.2">
      <c r="A59" s="301" t="s">
        <v>852</v>
      </c>
      <c r="B59" s="300" t="str">
        <f>IF('Anmeldeformular2022-3'!M72=0,"nicht erforderlich",IF(LEN('Anmeldeformular2022-3'!Q108)=0,"fehlt","ok"))</f>
        <v>nicht erforderlich</v>
      </c>
      <c r="C59" s="733">
        <f>Tname</f>
        <v>0</v>
      </c>
      <c r="D59" s="734"/>
    </row>
    <row r="60" spans="1:4" x14ac:dyDescent="0.2">
      <c r="A60" s="301" t="s">
        <v>855</v>
      </c>
      <c r="B60" s="300" t="str">
        <f>IF('Anmeldeformular2022-3'!M72=0,"nicht erforderlich",IF(LEN('Anmeldeformular2022-3'!Y108)=0,"fehlt","ok"))</f>
        <v>nicht erforderlich</v>
      </c>
      <c r="C60" s="731">
        <f>Ptitel</f>
        <v>0</v>
      </c>
      <c r="D60" s="732"/>
    </row>
    <row r="61" spans="1:4" x14ac:dyDescent="0.2">
      <c r="A61" s="301" t="s">
        <v>762</v>
      </c>
      <c r="B61" s="300" t="str">
        <f>IF('Anmeldeformular2022-3'!M73=0,"nicht erforderlich",IF(LEN('Anmeldeformular2022-3'!H109)=0,"fehlt","ok"))</f>
        <v>nicht erforderlich</v>
      </c>
      <c r="C61" s="731"/>
      <c r="D61" s="732"/>
    </row>
    <row r="62" spans="1:4" x14ac:dyDescent="0.2">
      <c r="A62" s="301" t="s">
        <v>853</v>
      </c>
      <c r="B62" s="300" t="str">
        <f>IF('Anmeldeformular2022-3'!M73=0,"nicht erforderlich",IF(LEN('Anmeldeformular2022-3'!Q109)=0,"fehlt","ok"))</f>
        <v>nicht erforderlich</v>
      </c>
    </row>
    <row r="63" spans="1:4" x14ac:dyDescent="0.2">
      <c r="A63" s="301" t="s">
        <v>856</v>
      </c>
      <c r="B63" s="300" t="str">
        <f>IF('Anmeldeformular2022-3'!M73=0,"nicht erforderlich",IF(LEN('Anmeldeformular2022-3'!Y109)=0,"fehlt","ok"))</f>
        <v>nicht erforderlich</v>
      </c>
      <c r="C63" s="733"/>
      <c r="D63" s="734"/>
    </row>
    <row r="64" spans="1:4" x14ac:dyDescent="0.2">
      <c r="A64" s="301" t="s">
        <v>830</v>
      </c>
      <c r="B64" s="300" t="str">
        <f>IF('Anmeldeformular2022-3'!M75=0,"nicht erforderlich",IF(LEN('Anmeldeformular2022-3'!H110)=0,"fehlt","ok"))</f>
        <v>nicht erforderlich</v>
      </c>
    </row>
    <row r="65" spans="1:3" ht="14.45" customHeight="1" x14ac:dyDescent="0.2">
      <c r="A65" s="301" t="s">
        <v>858</v>
      </c>
      <c r="B65" s="300" t="str">
        <f>IF('Anmeldeformular2022-3'!M75=0,"nicht erforderlich",IF(LEN('Anmeldeformular2022-3'!Q110)=0,"fehlt","ok"))</f>
        <v>nicht erforderlich</v>
      </c>
      <c r="C65" s="730"/>
    </row>
    <row r="66" spans="1:3" x14ac:dyDescent="0.2">
      <c r="A66" s="302" t="s">
        <v>859</v>
      </c>
      <c r="B66" s="300" t="str">
        <f>IF('Anmeldeformular2022-3'!M75=0,"nicht erforderlich",IF(LEN('Anmeldeformular2022-3'!Y110)=0,"fehlt","ok"))</f>
        <v>nicht erforderlich</v>
      </c>
      <c r="C66" s="730"/>
    </row>
    <row r="67" spans="1:3" x14ac:dyDescent="0.2">
      <c r="A67" s="148" t="s">
        <v>612</v>
      </c>
      <c r="B67" s="300" t="str">
        <f>IF('Anmeldeformular2022-3'!M79=0,"nicht erforderlich",IF(LEN('Anmeldeformular2022-3'!H111)=0,"fehlt","ok"))</f>
        <v>nicht erforderlich</v>
      </c>
    </row>
    <row r="68" spans="1:3" x14ac:dyDescent="0.2">
      <c r="A68" s="148" t="s">
        <v>857</v>
      </c>
      <c r="B68" s="300" t="str">
        <f>IF('Anmeldeformular2022-3'!M79=0,"nicht erforderlich",IF(LEN('Anmeldeformular2022-3'!Q111)=0,"fehlt","ok"))</f>
        <v>nicht erforderlich</v>
      </c>
    </row>
    <row r="69" spans="1:3" x14ac:dyDescent="0.2">
      <c r="A69" s="303" t="s">
        <v>860</v>
      </c>
      <c r="B69" s="304" t="str">
        <f>IF('Anmeldeformular2022-3'!M79=0,"nicht erforderlich",IF(LEN('Anmeldeformular2022-3'!Y111)=0,"fehlt","ok"))</f>
        <v>nicht erforderlich</v>
      </c>
    </row>
  </sheetData>
  <sheetProtection selectLockedCells="1" selectUnlockedCells="1"/>
  <customSheetViews>
    <customSheetView guid="{EEA7A97B-E2BF-43AD-B211-D284BEE221A1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  <customSheetView guid="{04F5F062-CD85-4BE7-B897-A8C5C601EF7B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</customSheetViews>
  <mergeCells count="5">
    <mergeCell ref="A1:D1"/>
    <mergeCell ref="C65:C66"/>
    <mergeCell ref="C60:D61"/>
    <mergeCell ref="C59:D59"/>
    <mergeCell ref="C63:D63"/>
  </mergeCells>
  <phoneticPr fontId="21" type="noConversion"/>
  <conditionalFormatting sqref="B21 B11 D2:D3">
    <cfRule type="cellIs" dxfId="24" priority="3" stopIfTrue="1" operator="equal">
      <formula>"ok"</formula>
    </cfRule>
  </conditionalFormatting>
  <conditionalFormatting sqref="D4:D26 D38:D57 D29:D36">
    <cfRule type="cellIs" dxfId="23" priority="4" stopIfTrue="1" operator="equal">
      <formula>"fehlt"</formula>
    </cfRule>
  </conditionalFormatting>
  <conditionalFormatting sqref="B4:B9 B12:B20 B22 B24:B69">
    <cfRule type="cellIs" dxfId="22" priority="5" stopIfTrue="1" operator="equal">
      <formula>"fehlt"</formula>
    </cfRule>
  </conditionalFormatting>
  <printOptions gridLines="1"/>
  <pageMargins left="0.19685039370078741" right="0.19685039370078741" top="0.17" bottom="0.19685039370078741" header="0.31496062992125984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"/>
  <sheetViews>
    <sheetView workbookViewId="0"/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8"/>
  <dimension ref="A1"/>
  <sheetViews>
    <sheetView workbookViewId="0">
      <selection activeCell="C31" sqref="C31"/>
    </sheetView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H87"/>
  <sheetViews>
    <sheetView showGridLines="0" topLeftCell="A46" zoomScaleNormal="100" workbookViewId="0">
      <selection activeCell="A59" sqref="A59:AF59"/>
    </sheetView>
  </sheetViews>
  <sheetFormatPr baseColWidth="10" defaultRowHeight="12.75" x14ac:dyDescent="0.2"/>
  <cols>
    <col min="1" max="8" width="2.7109375" customWidth="1"/>
    <col min="9" max="9" width="6.140625" customWidth="1"/>
    <col min="10" max="22" width="2.7109375" customWidth="1"/>
    <col min="23" max="23" width="4.7109375" customWidth="1"/>
    <col min="24" max="32" width="2.7109375" customWidth="1"/>
    <col min="33" max="33" width="11.42578125" style="63" customWidth="1"/>
  </cols>
  <sheetData>
    <row r="1" spans="1:34" ht="15.75" x14ac:dyDescent="0.25">
      <c r="A1" s="773" t="s">
        <v>986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773"/>
      <c r="W1" s="773"/>
      <c r="X1" s="773"/>
      <c r="Y1" s="773"/>
      <c r="Z1" s="773"/>
      <c r="AA1" s="773"/>
      <c r="AB1" s="773"/>
      <c r="AC1" s="773"/>
      <c r="AD1" s="6"/>
      <c r="AE1" s="774">
        <f>AnmeldeNummer</f>
        <v>0</v>
      </c>
      <c r="AF1" s="775"/>
    </row>
    <row r="2" spans="1:34" ht="15.75" x14ac:dyDescent="0.25">
      <c r="A2" s="778" t="s">
        <v>152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  <c r="R2" s="778"/>
      <c r="S2" s="778"/>
      <c r="T2" s="778"/>
      <c r="U2" s="778"/>
      <c r="V2" s="778"/>
      <c r="W2" s="778"/>
      <c r="X2" s="778"/>
      <c r="Y2" s="778"/>
      <c r="Z2" s="778"/>
      <c r="AA2" s="778"/>
      <c r="AB2" s="778"/>
      <c r="AC2" s="778"/>
      <c r="AD2" s="6"/>
      <c r="AE2" s="776"/>
      <c r="AF2" s="777"/>
    </row>
    <row r="3" spans="1:3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88" t="str">
        <f>IF(neufass=0,"","Neue Fassung")</f>
        <v/>
      </c>
      <c r="V3" s="789"/>
      <c r="W3" s="789"/>
      <c r="X3" s="783" t="str">
        <f>IF(neufass=0,"",neufass)</f>
        <v/>
      </c>
      <c r="Y3" s="784"/>
      <c r="Z3" s="784"/>
      <c r="AA3" s="785"/>
      <c r="AB3" s="6"/>
      <c r="AC3" s="6"/>
      <c r="AD3" s="6"/>
      <c r="AE3" s="782" t="s">
        <v>113</v>
      </c>
      <c r="AF3" s="782"/>
    </row>
    <row r="4" spans="1:34" x14ac:dyDescent="0.2">
      <c r="A4" s="16" t="s">
        <v>935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790"/>
      <c r="V4" s="791"/>
      <c r="W4" s="791"/>
      <c r="X4" s="786"/>
      <c r="Y4" s="786"/>
      <c r="Z4" s="786"/>
      <c r="AA4" s="787"/>
      <c r="AB4" s="6"/>
      <c r="AC4" s="779">
        <f>Anmeldeingang</f>
        <v>0</v>
      </c>
      <c r="AD4" s="780"/>
      <c r="AE4" s="780"/>
      <c r="AF4" s="781"/>
    </row>
    <row r="5" spans="1:34" x14ac:dyDescent="0.2">
      <c r="A5" s="10" t="s">
        <v>114</v>
      </c>
      <c r="B5" s="8"/>
      <c r="C5" s="8"/>
      <c r="D5" s="8"/>
      <c r="E5" s="82"/>
      <c r="F5" s="82"/>
      <c r="G5" s="82"/>
      <c r="H5" s="800">
        <f>Tname</f>
        <v>0</v>
      </c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3"/>
      <c r="AB5" s="84"/>
      <c r="AC5" s="799"/>
      <c r="AD5" s="799"/>
      <c r="AE5" s="799"/>
      <c r="AF5" s="799"/>
    </row>
    <row r="6" spans="1:34" x14ac:dyDescent="0.2">
      <c r="A6" s="10" t="s">
        <v>115</v>
      </c>
      <c r="B6" s="8"/>
      <c r="C6" s="8"/>
      <c r="D6" s="8"/>
      <c r="E6" s="82"/>
      <c r="F6" s="82"/>
      <c r="G6" s="82"/>
      <c r="H6" s="792" t="str">
        <f>Anspranrede&amp;" "&amp;ansprvorname&amp;" "&amp;Ansprname</f>
        <v xml:space="preserve">  </v>
      </c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2"/>
      <c r="V6" s="792"/>
      <c r="W6" s="792"/>
      <c r="X6" s="792"/>
      <c r="Y6" s="792"/>
      <c r="Z6" s="792"/>
      <c r="AA6" s="792"/>
      <c r="AB6" s="792"/>
      <c r="AC6" s="792"/>
      <c r="AD6" s="792"/>
      <c r="AE6" s="792"/>
      <c r="AF6" s="11"/>
    </row>
    <row r="7" spans="1:34" x14ac:dyDescent="0.2">
      <c r="A7" s="10" t="s">
        <v>116</v>
      </c>
      <c r="B7" s="8"/>
      <c r="C7" s="8"/>
      <c r="D7" s="8"/>
      <c r="E7" s="85" t="s">
        <v>117</v>
      </c>
      <c r="F7" s="38"/>
      <c r="G7" s="94"/>
      <c r="H7" s="801">
        <f>ansprtel</f>
        <v>0</v>
      </c>
      <c r="I7" s="801"/>
      <c r="J7" s="801"/>
      <c r="K7" s="801"/>
      <c r="L7" s="801"/>
      <c r="M7" s="801"/>
      <c r="N7" s="38"/>
      <c r="O7" s="85" t="s">
        <v>118</v>
      </c>
      <c r="P7" s="38"/>
      <c r="Q7" s="38"/>
      <c r="R7" s="792">
        <f>ansprmail</f>
        <v>0</v>
      </c>
      <c r="S7" s="792"/>
      <c r="T7" s="792"/>
      <c r="U7" s="792"/>
      <c r="V7" s="792"/>
      <c r="W7" s="792"/>
      <c r="X7" s="792"/>
      <c r="Y7" s="792"/>
      <c r="Z7" s="792"/>
      <c r="AA7" s="792"/>
      <c r="AB7" s="792"/>
      <c r="AC7" s="792"/>
      <c r="AD7" s="792"/>
      <c r="AE7" s="792"/>
      <c r="AF7" s="11"/>
    </row>
    <row r="8" spans="1:34" x14ac:dyDescent="0.2">
      <c r="A8" s="16" t="s">
        <v>172</v>
      </c>
      <c r="B8" s="13"/>
      <c r="C8" s="13"/>
      <c r="D8" s="13"/>
      <c r="E8" s="13"/>
      <c r="F8" s="13"/>
      <c r="G8" s="13"/>
      <c r="H8" s="13"/>
      <c r="I8" s="13"/>
      <c r="J8" s="13"/>
      <c r="K8" s="904" t="str">
        <f ca="1">Ueregion</f>
        <v xml:space="preserve"> </v>
      </c>
      <c r="L8" s="905"/>
      <c r="M8" s="905"/>
      <c r="N8" s="905"/>
      <c r="O8" s="905"/>
      <c r="P8" s="905"/>
      <c r="Q8" s="905"/>
      <c r="R8" s="905"/>
      <c r="S8" s="905"/>
      <c r="T8" s="905"/>
      <c r="U8" s="905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1:34" x14ac:dyDescent="0.2">
      <c r="A9" s="10" t="s">
        <v>119</v>
      </c>
      <c r="B9" s="8"/>
      <c r="C9" s="8"/>
      <c r="D9" s="8"/>
      <c r="E9" s="82"/>
      <c r="F9" s="82"/>
      <c r="G9" s="82"/>
      <c r="H9" s="792">
        <f>Ptitel</f>
        <v>0</v>
      </c>
      <c r="I9" s="792"/>
      <c r="J9" s="792"/>
      <c r="K9" s="792"/>
      <c r="L9" s="792"/>
      <c r="M9" s="792"/>
      <c r="N9" s="792"/>
      <c r="O9" s="792"/>
      <c r="P9" s="792"/>
      <c r="Q9" s="792"/>
      <c r="R9" s="792"/>
      <c r="S9" s="792"/>
      <c r="T9" s="792"/>
      <c r="U9" s="792"/>
      <c r="V9" s="792"/>
      <c r="W9" s="792"/>
      <c r="X9" s="792"/>
      <c r="Y9" s="792"/>
      <c r="Z9" s="792"/>
      <c r="AA9" s="792"/>
      <c r="AB9" s="792"/>
      <c r="AC9" s="792"/>
      <c r="AD9" s="792"/>
      <c r="AE9" s="792"/>
      <c r="AF9" s="11"/>
      <c r="AH9" s="63"/>
    </row>
    <row r="10" spans="1:34" x14ac:dyDescent="0.2">
      <c r="A10" s="10" t="s">
        <v>120</v>
      </c>
      <c r="B10" s="8"/>
      <c r="C10" s="8"/>
      <c r="D10" s="8"/>
      <c r="E10" s="85" t="s">
        <v>121</v>
      </c>
      <c r="F10" s="8"/>
      <c r="G10" s="8"/>
      <c r="H10" s="805">
        <f>Beginn</f>
        <v>0</v>
      </c>
      <c r="I10" s="805"/>
      <c r="J10" s="805"/>
      <c r="K10" s="805"/>
      <c r="L10" s="8"/>
      <c r="M10" s="85" t="s">
        <v>122</v>
      </c>
      <c r="N10" s="8"/>
      <c r="O10" s="8"/>
      <c r="P10" s="805">
        <f>Ende</f>
        <v>0</v>
      </c>
      <c r="Q10" s="805"/>
      <c r="R10" s="805"/>
      <c r="S10" s="805"/>
      <c r="T10" s="8"/>
      <c r="U10" s="217" t="s">
        <v>751</v>
      </c>
      <c r="V10" s="8"/>
      <c r="W10" s="259">
        <f>TNpl</f>
        <v>0</v>
      </c>
      <c r="Y10" s="255"/>
      <c r="Z10" s="222" t="s">
        <v>750</v>
      </c>
      <c r="AD10" s="808">
        <f>TNanz</f>
        <v>0</v>
      </c>
      <c r="AE10" s="792"/>
      <c r="AG10" s="291"/>
      <c r="AH10" s="63"/>
    </row>
    <row r="11" spans="1:34" x14ac:dyDescent="0.2">
      <c r="A11" s="10" t="s">
        <v>123</v>
      </c>
      <c r="B11" s="8"/>
      <c r="C11" s="8"/>
      <c r="D11" s="8"/>
      <c r="E11" s="8"/>
      <c r="F11" s="8"/>
      <c r="G11" s="8"/>
      <c r="H11" s="792" t="str">
        <f ca="1">GEK</f>
        <v>Bitte auswählen</v>
      </c>
      <c r="I11" s="792"/>
      <c r="J11" s="792"/>
      <c r="K11" s="792"/>
      <c r="L11" s="792"/>
      <c r="M11" s="792"/>
      <c r="N11" s="792"/>
      <c r="O11" s="792"/>
      <c r="P11" s="792"/>
      <c r="Q11" s="792"/>
      <c r="R11" s="792"/>
      <c r="S11" s="792"/>
      <c r="T11" s="82"/>
      <c r="U11" s="330" t="s">
        <v>846</v>
      </c>
      <c r="V11" s="137"/>
      <c r="W11" s="866">
        <f ca="1">HSOB</f>
        <v>0</v>
      </c>
      <c r="X11" s="867"/>
      <c r="Y11" s="867"/>
      <c r="Z11" s="217"/>
      <c r="AC11" s="8"/>
      <c r="AD11" s="806"/>
      <c r="AE11" s="806"/>
      <c r="AF11" s="807"/>
      <c r="AH11" s="63"/>
    </row>
    <row r="12" spans="1:34" x14ac:dyDescent="0.2">
      <c r="A12" s="10" t="s">
        <v>125</v>
      </c>
      <c r="B12" s="8"/>
      <c r="C12" s="8"/>
      <c r="D12" s="8"/>
      <c r="E12" s="8"/>
      <c r="F12" s="8"/>
      <c r="G12" s="8"/>
      <c r="H12" s="750">
        <f>mastdges+esfges</f>
        <v>0</v>
      </c>
      <c r="I12" s="750"/>
      <c r="J12" s="750"/>
      <c r="K12" s="750"/>
      <c r="L12" s="750"/>
      <c r="M12" s="750"/>
      <c r="N12" s="750"/>
      <c r="O12" s="86"/>
      <c r="U12" s="217" t="s">
        <v>782</v>
      </c>
      <c r="W12" t="str">
        <f>IF(edwdAuswahl=2,"ja","nein")</f>
        <v>nein</v>
      </c>
      <c r="Z12" s="81" t="s">
        <v>124</v>
      </c>
      <c r="AA12" s="82"/>
      <c r="AB12" s="82"/>
      <c r="AC12" s="8"/>
      <c r="AD12" s="792" t="str">
        <f>IF(TNrlpauswahl=0,"",IF(TNrlpauswahl=1,"ja","nein"))</f>
        <v/>
      </c>
      <c r="AE12" s="792"/>
      <c r="AF12" s="11"/>
      <c r="AH12" s="63"/>
    </row>
    <row r="13" spans="1:34" x14ac:dyDescent="0.2">
      <c r="A13" s="221" t="s">
        <v>876</v>
      </c>
      <c r="B13" s="8"/>
      <c r="C13" s="8"/>
      <c r="D13" s="8"/>
      <c r="E13" s="8"/>
      <c r="F13" s="8"/>
      <c r="G13" s="8"/>
      <c r="H13" s="750">
        <f>mastd1jahr+esf1jahr</f>
        <v>0</v>
      </c>
      <c r="I13" s="750"/>
      <c r="J13" s="750"/>
      <c r="K13" s="750"/>
      <c r="L13" s="750"/>
      <c r="M13" s="750"/>
      <c r="N13" s="750"/>
      <c r="O13" s="86"/>
      <c r="P13" s="222"/>
      <c r="Q13" s="8"/>
      <c r="R13" s="8"/>
      <c r="S13" s="8"/>
      <c r="T13" s="8"/>
      <c r="U13" s="750"/>
      <c r="V13" s="751"/>
      <c r="W13" s="751"/>
      <c r="X13" s="751"/>
      <c r="Y13" s="256"/>
      <c r="AF13" s="11"/>
    </row>
    <row r="14" spans="1:34" x14ac:dyDescent="0.2">
      <c r="A14" s="221" t="s">
        <v>938</v>
      </c>
      <c r="B14" s="8"/>
      <c r="C14" s="8"/>
      <c r="D14" s="8"/>
      <c r="E14" s="8"/>
      <c r="F14" s="8"/>
      <c r="G14" s="8"/>
      <c r="H14" s="750">
        <f>esf2jahr+mastd2jahr</f>
        <v>0</v>
      </c>
      <c r="I14" s="751"/>
      <c r="J14" s="256"/>
      <c r="K14" s="256"/>
      <c r="L14" s="256"/>
      <c r="M14" s="256"/>
      <c r="N14" s="256"/>
      <c r="O14" s="86"/>
      <c r="P14" s="919" t="str">
        <f ca="1">Ueregion</f>
        <v xml:space="preserve"> </v>
      </c>
      <c r="Q14" s="920"/>
      <c r="R14" s="920"/>
      <c r="S14" s="920"/>
      <c r="T14" s="920"/>
      <c r="U14" s="920"/>
      <c r="V14" s="920"/>
      <c r="W14" s="920"/>
      <c r="X14" s="920"/>
      <c r="Y14" s="256"/>
      <c r="AF14" s="11"/>
    </row>
    <row r="15" spans="1:34" ht="16.5" customHeight="1" x14ac:dyDescent="0.2">
      <c r="A15" s="10"/>
      <c r="B15" s="8"/>
      <c r="C15" s="8"/>
      <c r="D15" s="8"/>
      <c r="E15" s="797"/>
      <c r="F15" s="798"/>
      <c r="G15" s="798"/>
      <c r="H15" s="798"/>
      <c r="I15" s="798"/>
      <c r="J15" s="798"/>
      <c r="K15" s="798"/>
      <c r="L15" s="798"/>
      <c r="M15" s="798"/>
      <c r="N15" s="798"/>
      <c r="O15" s="798"/>
      <c r="P15" s="248" t="s">
        <v>723</v>
      </c>
      <c r="Q15" s="136"/>
      <c r="R15" s="136"/>
      <c r="S15" s="136"/>
      <c r="T15" s="136"/>
      <c r="U15" s="795" t="str">
        <f ca="1">Fansatz</f>
        <v>Frauen aktiv in die Zukunft</v>
      </c>
      <c r="V15" s="795"/>
      <c r="W15" s="795"/>
      <c r="X15" s="795"/>
      <c r="Y15" s="795"/>
      <c r="Z15" s="795"/>
      <c r="AA15" s="795"/>
      <c r="AB15" s="795"/>
      <c r="AC15" s="795"/>
      <c r="AD15" s="795"/>
      <c r="AE15" s="795"/>
      <c r="AF15" s="796"/>
    </row>
    <row r="16" spans="1:34" x14ac:dyDescent="0.2">
      <c r="A16" s="249" t="s">
        <v>939</v>
      </c>
      <c r="B16" s="12"/>
      <c r="C16" s="12"/>
      <c r="D16" s="12"/>
      <c r="E16" s="802" t="str">
        <f ca="1">Aktion</f>
        <v>h) Förderung der aktiven Inklusion…</v>
      </c>
      <c r="F16" s="803"/>
      <c r="G16" s="803"/>
      <c r="H16" s="803"/>
      <c r="I16" s="803"/>
      <c r="J16" s="803"/>
      <c r="K16" s="803"/>
      <c r="L16" s="803"/>
      <c r="M16" s="803"/>
      <c r="N16" s="803"/>
      <c r="O16" s="804"/>
      <c r="P16" s="136" t="s">
        <v>126</v>
      </c>
      <c r="Q16" s="153"/>
      <c r="R16" s="153"/>
      <c r="S16" s="153"/>
      <c r="T16" s="154"/>
      <c r="U16" s="809" t="str">
        <f ca="1">ZG</f>
        <v>Langzeitleistungsbeziehende (SGB II) / strukturell Benachteiligte im Leistungsbezug (SGB II)</v>
      </c>
      <c r="V16" s="810"/>
      <c r="W16" s="810"/>
      <c r="X16" s="810"/>
      <c r="Y16" s="810"/>
      <c r="Z16" s="810"/>
      <c r="AA16" s="810"/>
      <c r="AB16" s="810"/>
      <c r="AC16" s="810"/>
      <c r="AD16" s="810"/>
      <c r="AE16" s="811"/>
      <c r="AF16" s="32"/>
    </row>
    <row r="17" spans="1:34" ht="12.75" customHeight="1" x14ac:dyDescent="0.2">
      <c r="A17" s="16" t="s">
        <v>936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51"/>
      <c r="M17" s="13"/>
      <c r="N17" s="14"/>
      <c r="O17" s="10"/>
      <c r="P17" s="8"/>
      <c r="Q17" s="8"/>
      <c r="R17" s="8"/>
      <c r="S17" s="8"/>
      <c r="T17" s="8"/>
      <c r="U17" s="810"/>
      <c r="V17" s="810"/>
      <c r="W17" s="810"/>
      <c r="X17" s="810"/>
      <c r="Y17" s="810"/>
      <c r="Z17" s="810"/>
      <c r="AA17" s="810"/>
      <c r="AB17" s="810"/>
      <c r="AC17" s="810"/>
      <c r="AD17" s="810"/>
      <c r="AE17" s="811"/>
      <c r="AF17" s="11"/>
    </row>
    <row r="18" spans="1:34" ht="19.5" customHeight="1" x14ac:dyDescent="0.2">
      <c r="A18" s="793" t="s">
        <v>395</v>
      </c>
      <c r="B18" s="794"/>
      <c r="C18" s="794"/>
      <c r="D18" s="794"/>
      <c r="E18" s="12"/>
      <c r="F18" s="12"/>
      <c r="G18" s="12"/>
      <c r="H18" s="12"/>
      <c r="I18" s="12"/>
      <c r="J18" s="12"/>
      <c r="K18" s="12"/>
      <c r="L18" s="12"/>
      <c r="M18" s="12"/>
      <c r="N18" s="152"/>
      <c r="O18" s="15"/>
      <c r="P18" s="12"/>
      <c r="Q18" s="12"/>
      <c r="R18" s="12"/>
      <c r="S18" s="12"/>
      <c r="T18" s="12"/>
      <c r="U18" s="812"/>
      <c r="V18" s="812"/>
      <c r="W18" s="812"/>
      <c r="X18" s="812"/>
      <c r="Y18" s="812"/>
      <c r="Z18" s="812"/>
      <c r="AA18" s="812"/>
      <c r="AB18" s="812"/>
      <c r="AC18" s="812"/>
      <c r="AD18" s="812"/>
      <c r="AE18" s="812"/>
      <c r="AF18" s="152"/>
    </row>
    <row r="19" spans="1:34" x14ac:dyDescent="0.2">
      <c r="A19" s="29" t="s">
        <v>171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32"/>
    </row>
    <row r="20" spans="1:34" x14ac:dyDescent="0.2">
      <c r="A20" s="31" t="s">
        <v>386</v>
      </c>
      <c r="B20" s="19"/>
      <c r="C20" s="19"/>
      <c r="D20" s="19"/>
      <c r="E20" s="19"/>
      <c r="F20" s="19"/>
      <c r="G20" s="19"/>
      <c r="I20" s="283" t="str">
        <f>IF(Anmeldeingang=0,"",IF(Anmeldeingang&gt;FristEingang,"nein", "ja"))</f>
        <v/>
      </c>
      <c r="J20" s="149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32"/>
    </row>
    <row r="21" spans="1:34" x14ac:dyDescent="0.2">
      <c r="A21" s="31" t="s">
        <v>127</v>
      </c>
      <c r="B21" s="19"/>
      <c r="C21" s="19"/>
      <c r="D21" s="19"/>
      <c r="E21" s="19"/>
      <c r="F21" s="19"/>
      <c r="G21" s="19"/>
      <c r="H21" s="833" t="str">
        <f>IF(AND(Beginn&gt;=FProjBeginn, Beginn&lt;=SProjBeginn),"ja","nein")</f>
        <v>nein</v>
      </c>
      <c r="I21" s="833"/>
      <c r="J21" s="19"/>
      <c r="K21" s="33"/>
      <c r="L21" s="33"/>
      <c r="M21" s="33"/>
      <c r="N21" s="33"/>
      <c r="O21" s="33"/>
      <c r="P21" s="33"/>
      <c r="Q21" s="33"/>
      <c r="R21" s="33"/>
      <c r="S21" s="33"/>
      <c r="T21" s="834" t="str">
        <f>IF(Beginn=0,"",IF(DATEDIF(Beginn,Ende,"M")+1&gt;24,"ja","nein"))</f>
        <v/>
      </c>
      <c r="U21" s="835"/>
      <c r="V21" s="836"/>
      <c r="W21" s="33"/>
      <c r="X21" s="33"/>
      <c r="Y21" s="33"/>
      <c r="Z21" s="33"/>
      <c r="AA21" s="33"/>
      <c r="AB21" s="33"/>
      <c r="AC21" s="33"/>
      <c r="AD21" s="33"/>
      <c r="AE21" s="33"/>
      <c r="AF21" s="32"/>
    </row>
    <row r="22" spans="1:34" ht="18" customHeight="1" x14ac:dyDescent="0.2">
      <c r="A22" s="358" t="s">
        <v>937</v>
      </c>
      <c r="B22" s="19"/>
      <c r="C22" s="19"/>
      <c r="D22" s="19"/>
      <c r="E22" s="19"/>
      <c r="F22" s="19"/>
      <c r="G22" s="19"/>
      <c r="H22" s="19" t="s">
        <v>128</v>
      </c>
      <c r="I22" s="19"/>
      <c r="J22" s="19"/>
      <c r="K22" s="19" t="s">
        <v>129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2"/>
    </row>
    <row r="23" spans="1:34" ht="18" customHeight="1" x14ac:dyDescent="0.2">
      <c r="A23" s="3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75" t="s">
        <v>925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2"/>
    </row>
    <row r="24" spans="1:34" ht="20.25" customHeight="1" x14ac:dyDescent="0.2">
      <c r="A24" s="832"/>
      <c r="B24" s="730"/>
      <c r="C24" s="73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 t="s">
        <v>783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2"/>
    </row>
    <row r="25" spans="1:34" ht="19.5" customHeight="1" x14ac:dyDescent="0.2">
      <c r="A25" s="31" t="s">
        <v>133</v>
      </c>
      <c r="B25" s="19"/>
      <c r="C25" s="19"/>
      <c r="D25" s="19"/>
      <c r="E25" s="19"/>
      <c r="F25" s="19"/>
      <c r="G25" s="19"/>
      <c r="H25" s="19" t="s">
        <v>130</v>
      </c>
      <c r="I25" s="19"/>
      <c r="J25" s="19"/>
      <c r="K25" s="19" t="s">
        <v>131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2"/>
    </row>
    <row r="26" spans="1:34" ht="13.5" customHeight="1" x14ac:dyDescent="0.2">
      <c r="A26" s="868" t="s">
        <v>149</v>
      </c>
      <c r="B26" s="869"/>
      <c r="C26" s="869"/>
      <c r="D26" s="869"/>
      <c r="E26" s="869"/>
      <c r="F26" s="869"/>
      <c r="G26" s="869"/>
      <c r="H26" s="869"/>
      <c r="I26" s="869"/>
      <c r="J26" s="74"/>
      <c r="K26" s="68" t="s">
        <v>194</v>
      </c>
      <c r="L26" s="5"/>
      <c r="M26" s="5"/>
      <c r="N26" s="859" t="s">
        <v>195</v>
      </c>
      <c r="O26" s="859"/>
      <c r="P26" s="859" t="s">
        <v>148</v>
      </c>
      <c r="Q26" s="859" t="s">
        <v>136</v>
      </c>
      <c r="R26" s="72"/>
      <c r="S26" s="72" t="s">
        <v>196</v>
      </c>
      <c r="T26" s="68"/>
      <c r="U26" s="771" t="s">
        <v>192</v>
      </c>
      <c r="V26" s="755"/>
      <c r="W26" s="755"/>
      <c r="X26" s="755"/>
      <c r="Y26" s="755"/>
      <c r="Z26" s="755"/>
      <c r="AA26" s="755"/>
      <c r="AB26" s="755"/>
      <c r="AC26" s="755"/>
      <c r="AD26" s="755"/>
      <c r="AE26" s="755"/>
      <c r="AF26" s="772"/>
    </row>
    <row r="27" spans="1:34" ht="25.5" customHeight="1" x14ac:dyDescent="0.2">
      <c r="A27" s="829" t="s">
        <v>197</v>
      </c>
      <c r="B27" s="830"/>
      <c r="C27" s="830"/>
      <c r="D27" s="830"/>
      <c r="E27" s="830"/>
      <c r="F27" s="830"/>
      <c r="G27" s="830"/>
      <c r="H27" s="830"/>
      <c r="I27" s="830"/>
      <c r="J27" s="830"/>
      <c r="K27" s="830"/>
      <c r="L27" s="830"/>
      <c r="M27" s="19"/>
      <c r="N27" s="19"/>
      <c r="O27" s="19"/>
      <c r="P27" s="19"/>
      <c r="Q27" s="19"/>
      <c r="R27" s="19"/>
      <c r="S27" s="19"/>
      <c r="T27" s="19"/>
      <c r="U27" s="817"/>
      <c r="V27" s="818"/>
      <c r="W27" s="818"/>
      <c r="X27" s="818"/>
      <c r="Y27" s="818"/>
      <c r="Z27" s="818"/>
      <c r="AA27" s="818"/>
      <c r="AB27" s="818"/>
      <c r="AC27" s="818"/>
      <c r="AD27" s="818"/>
      <c r="AE27" s="818"/>
      <c r="AF27" s="819"/>
    </row>
    <row r="28" spans="1:34" ht="25.5" customHeight="1" x14ac:dyDescent="0.2">
      <c r="A28" s="757" t="s">
        <v>198</v>
      </c>
      <c r="B28" s="758"/>
      <c r="C28" s="758"/>
      <c r="D28" s="758"/>
      <c r="E28" s="758"/>
      <c r="F28" s="758"/>
      <c r="G28" s="758"/>
      <c r="H28" s="758"/>
      <c r="I28" s="758"/>
      <c r="J28" s="758"/>
      <c r="K28" s="758"/>
      <c r="L28" s="758"/>
      <c r="M28" s="73"/>
      <c r="N28" s="30"/>
      <c r="O28" s="30"/>
      <c r="P28" s="30"/>
      <c r="Q28" s="30"/>
      <c r="R28" s="30"/>
      <c r="S28" s="30"/>
      <c r="T28" s="30"/>
      <c r="U28" s="813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5"/>
    </row>
    <row r="29" spans="1:34" ht="28.5" customHeight="1" x14ac:dyDescent="0.2">
      <c r="A29" s="87" t="s">
        <v>213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73"/>
      <c r="N29" s="30"/>
      <c r="O29" s="30"/>
      <c r="P29" s="30"/>
      <c r="Q29" s="30"/>
      <c r="R29" s="30"/>
      <c r="S29" s="30"/>
      <c r="T29" s="30"/>
      <c r="U29" s="813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5"/>
    </row>
    <row r="30" spans="1:34" ht="25.5" customHeight="1" x14ac:dyDescent="0.2">
      <c r="A30" s="759" t="s">
        <v>186</v>
      </c>
      <c r="B30" s="760"/>
      <c r="C30" s="760"/>
      <c r="D30" s="760"/>
      <c r="E30" s="760"/>
      <c r="F30" s="760"/>
      <c r="G30" s="760"/>
      <c r="H30" s="760"/>
      <c r="I30" s="760"/>
      <c r="J30" s="760"/>
      <c r="K30" s="760"/>
      <c r="L30" s="760"/>
      <c r="M30" s="760"/>
      <c r="N30" s="760"/>
      <c r="O30" s="760"/>
      <c r="P30" s="760"/>
      <c r="Q30" s="760"/>
      <c r="R30" s="760"/>
      <c r="S30" s="760"/>
      <c r="T30" s="760"/>
      <c r="U30" s="760"/>
      <c r="V30" s="760"/>
      <c r="W30" s="760"/>
      <c r="X30" s="760"/>
      <c r="Y30" s="760"/>
      <c r="Z30" s="760"/>
      <c r="AA30" s="760"/>
      <c r="AB30" s="760"/>
      <c r="AC30" s="760"/>
      <c r="AD30" s="760"/>
      <c r="AE30" s="760"/>
      <c r="AF30" s="761"/>
    </row>
    <row r="31" spans="1:34" ht="25.5" customHeight="1" x14ac:dyDescent="0.2">
      <c r="A31" s="223" t="s">
        <v>134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Z31" s="110"/>
      <c r="AA31" s="110"/>
      <c r="AB31" s="110"/>
      <c r="AD31" s="110"/>
      <c r="AE31" s="110"/>
      <c r="AF31" s="224"/>
    </row>
    <row r="32" spans="1:34" ht="18.75" customHeight="1" x14ac:dyDescent="0.2">
      <c r="A32" s="99" t="s">
        <v>393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828"/>
      <c r="M32" s="828"/>
      <c r="N32" s="828"/>
      <c r="O32" s="828"/>
      <c r="P32" s="828"/>
      <c r="Q32" s="828"/>
      <c r="R32" s="828"/>
      <c r="S32" s="828"/>
      <c r="T32" s="828"/>
      <c r="U32" s="100"/>
      <c r="V32" s="100" t="s">
        <v>144</v>
      </c>
      <c r="W32" s="100"/>
      <c r="X32" s="837"/>
      <c r="Y32" s="837"/>
      <c r="Z32" s="837"/>
      <c r="AA32" s="838"/>
      <c r="AB32" s="100"/>
      <c r="AC32" s="100"/>
      <c r="AD32" s="100"/>
      <c r="AE32" s="100"/>
      <c r="AF32" s="101"/>
      <c r="AH32" s="135"/>
    </row>
    <row r="33" spans="1:33" ht="20.25" customHeight="1" x14ac:dyDescent="0.25">
      <c r="A33" s="876" t="s">
        <v>390</v>
      </c>
      <c r="B33" s="755"/>
      <c r="C33" s="755"/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55"/>
      <c r="R33" s="755"/>
      <c r="S33" s="755"/>
      <c r="T33" s="755"/>
      <c r="U33" s="755"/>
      <c r="V33" s="5"/>
      <c r="W33" s="5"/>
      <c r="X33" s="756" t="s">
        <v>389</v>
      </c>
      <c r="Y33" s="756"/>
      <c r="Z33" s="756"/>
      <c r="AA33" s="756"/>
      <c r="AB33" s="756"/>
      <c r="AC33" s="847">
        <f>Bewertungspunkte</f>
        <v>0</v>
      </c>
      <c r="AD33" s="847"/>
      <c r="AE33" s="847"/>
      <c r="AF33" s="848"/>
    </row>
    <row r="34" spans="1:33" ht="20.25" customHeight="1" x14ac:dyDescent="0.2">
      <c r="A34" s="876" t="s">
        <v>38</v>
      </c>
      <c r="B34" s="755"/>
      <c r="C34" s="755"/>
      <c r="D34" s="755"/>
      <c r="E34" s="755"/>
      <c r="F34" s="755"/>
      <c r="G34" s="755"/>
      <c r="H34" s="755"/>
      <c r="I34" s="68"/>
      <c r="J34" s="820" t="str">
        <f>IF(BewertungBS=2, "Projekt kann empfohlen werden.",IF(BewertungBS=1,"Projekt kann nicht empfohlen werden.",IF(BewertungBS=3,"Projekt kann unter Vorbehalt empfohlen werden"," ")))</f>
        <v xml:space="preserve"> </v>
      </c>
      <c r="K34" s="755"/>
      <c r="L34" s="755"/>
      <c r="M34" s="755"/>
      <c r="N34" s="755"/>
      <c r="O34" s="755"/>
      <c r="P34" s="755"/>
      <c r="Q34" s="755"/>
      <c r="R34" s="755"/>
      <c r="S34" s="755"/>
      <c r="T34" s="755"/>
      <c r="U34" s="755"/>
      <c r="V34" s="755"/>
      <c r="W34" s="755"/>
      <c r="X34" s="755"/>
      <c r="Y34" s="755"/>
      <c r="Z34" s="755"/>
      <c r="AA34" s="755"/>
      <c r="AB34" s="755"/>
      <c r="AC34" s="755"/>
      <c r="AD34" s="68"/>
      <c r="AE34" s="68"/>
      <c r="AF34" s="225"/>
    </row>
    <row r="35" spans="1:33" ht="63.75" customHeight="1" x14ac:dyDescent="0.2">
      <c r="A35" s="877" t="s">
        <v>710</v>
      </c>
      <c r="B35" s="878"/>
      <c r="C35" s="878"/>
      <c r="D35" s="878"/>
      <c r="E35" s="878"/>
      <c r="F35" s="878"/>
      <c r="G35" s="878"/>
      <c r="H35" s="878"/>
      <c r="I35" s="878"/>
      <c r="J35" s="878"/>
      <c r="K35" s="878"/>
      <c r="L35" s="878"/>
      <c r="M35" s="878"/>
      <c r="N35" s="878"/>
      <c r="O35" s="878"/>
      <c r="P35" s="878"/>
      <c r="Q35" s="878"/>
      <c r="R35" s="878"/>
      <c r="S35" s="878"/>
      <c r="T35" s="878"/>
      <c r="U35" s="878"/>
      <c r="V35" s="878"/>
      <c r="W35" s="878"/>
      <c r="X35" s="878"/>
      <c r="Y35" s="878"/>
      <c r="Z35" s="878"/>
      <c r="AA35" s="878"/>
      <c r="AB35" s="878"/>
      <c r="AC35" s="878"/>
      <c r="AD35" s="878"/>
      <c r="AE35" s="878"/>
      <c r="AF35" s="879"/>
    </row>
    <row r="36" spans="1:33" ht="17.25" customHeight="1" x14ac:dyDescent="0.2">
      <c r="A36" s="96" t="s">
        <v>184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762"/>
      <c r="Q36" s="762"/>
      <c r="R36" s="762"/>
      <c r="S36" s="762"/>
      <c r="T36" s="97"/>
      <c r="U36" s="97"/>
      <c r="V36" s="816"/>
      <c r="W36" s="816"/>
      <c r="X36" s="816"/>
      <c r="Y36" s="97"/>
      <c r="Z36" s="831"/>
      <c r="AA36" s="816"/>
      <c r="AB36" s="816"/>
      <c r="AC36" s="821" t="str">
        <f>IF(Prioauswahl=1,"Prio 1", IF(Prioauswahl=2, "Prio 0", IF(Prioauswahl=4, "Prio 1 unter Vorbehalt"," ")))</f>
        <v xml:space="preserve"> </v>
      </c>
      <c r="AD36" s="822"/>
      <c r="AE36" s="822"/>
      <c r="AF36" s="823"/>
    </row>
    <row r="37" spans="1:33" ht="18" customHeight="1" x14ac:dyDescent="0.2">
      <c r="A37" s="95" t="s">
        <v>185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0"/>
      <c r="Z37" s="71"/>
      <c r="AA37" s="71"/>
      <c r="AB37" s="71"/>
      <c r="AC37" s="824"/>
      <c r="AD37" s="824"/>
      <c r="AE37" s="824"/>
      <c r="AF37" s="825"/>
    </row>
    <row r="38" spans="1:33" ht="18" customHeight="1" x14ac:dyDescent="0.2">
      <c r="A38" s="95" t="s">
        <v>387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63" t="s">
        <v>161</v>
      </c>
      <c r="O38" s="763"/>
      <c r="P38" s="69"/>
      <c r="Q38" s="69"/>
      <c r="R38" s="69"/>
      <c r="S38" s="69"/>
      <c r="T38" s="69"/>
      <c r="U38" s="69"/>
      <c r="V38" s="69"/>
      <c r="W38" s="69"/>
      <c r="X38" s="69"/>
      <c r="Y38" s="70"/>
      <c r="Z38" s="71"/>
      <c r="AA38" s="71"/>
      <c r="AB38" s="71"/>
      <c r="AC38" s="826"/>
      <c r="AD38" s="826"/>
      <c r="AE38" s="826"/>
      <c r="AF38" s="827"/>
    </row>
    <row r="39" spans="1:33" s="19" customFormat="1" ht="52.5" customHeight="1" x14ac:dyDescent="0.2">
      <c r="A39" s="850" t="s">
        <v>692</v>
      </c>
      <c r="B39" s="851"/>
      <c r="C39" s="851"/>
      <c r="D39" s="851"/>
      <c r="E39" s="851"/>
      <c r="F39" s="851"/>
      <c r="G39" s="851"/>
      <c r="H39" s="851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1"/>
      <c r="X39" s="851"/>
      <c r="Y39" s="851"/>
      <c r="Z39" s="851"/>
      <c r="AA39" s="851"/>
      <c r="AB39" s="851"/>
      <c r="AC39" s="851"/>
      <c r="AD39" s="851"/>
      <c r="AE39" s="851"/>
      <c r="AF39" s="852"/>
      <c r="AG39" s="228"/>
    </row>
    <row r="40" spans="1:33" s="19" customFormat="1" ht="6" customHeight="1" x14ac:dyDescent="0.2">
      <c r="A40" s="853"/>
      <c r="B40" s="854"/>
      <c r="C40" s="854"/>
      <c r="D40" s="854"/>
      <c r="E40" s="854"/>
      <c r="F40" s="854"/>
      <c r="G40" s="854"/>
      <c r="H40" s="854"/>
      <c r="I40" s="854"/>
      <c r="J40" s="854"/>
      <c r="K40" s="854"/>
      <c r="L40" s="854"/>
      <c r="M40" s="854"/>
      <c r="N40" s="854"/>
      <c r="O40" s="854"/>
      <c r="P40" s="854"/>
      <c r="Q40" s="854"/>
      <c r="R40" s="854"/>
      <c r="S40" s="854"/>
      <c r="T40" s="854"/>
      <c r="U40" s="854"/>
      <c r="V40" s="854"/>
      <c r="W40" s="854"/>
      <c r="X40" s="854"/>
      <c r="Y40" s="854"/>
      <c r="Z40" s="854"/>
      <c r="AA40" s="854"/>
      <c r="AB40" s="854"/>
      <c r="AC40" s="854"/>
      <c r="AD40" s="854"/>
      <c r="AE40" s="854"/>
      <c r="AF40" s="852"/>
      <c r="AG40" s="228"/>
    </row>
    <row r="41" spans="1:33" ht="20.25" customHeight="1" x14ac:dyDescent="0.2">
      <c r="A41" s="96" t="s">
        <v>644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762"/>
      <c r="R41" s="762"/>
      <c r="S41" s="762"/>
      <c r="T41" s="762"/>
      <c r="U41" s="97"/>
      <c r="V41" s="97"/>
      <c r="W41" s="97"/>
      <c r="X41" s="97"/>
      <c r="Y41" s="98"/>
      <c r="Z41" s="98"/>
      <c r="AA41" s="98"/>
      <c r="AB41" s="30"/>
      <c r="AC41" s="767" t="str">
        <f>IF(Prio2auswahl=1,"Prio 0",IF(Prio2auswahl=2,"Prio 1"," "))</f>
        <v xml:space="preserve"> </v>
      </c>
      <c r="AD41" s="768"/>
      <c r="AE41" s="768"/>
      <c r="AF41" s="769"/>
    </row>
    <row r="42" spans="1:33" ht="69.75" customHeight="1" x14ac:dyDescent="0.2">
      <c r="A42" s="855" t="s">
        <v>614</v>
      </c>
      <c r="B42" s="856"/>
      <c r="C42" s="856"/>
      <c r="D42" s="856"/>
      <c r="E42" s="856"/>
      <c r="F42" s="856"/>
      <c r="G42" s="856"/>
      <c r="H42" s="856"/>
      <c r="I42" s="856"/>
      <c r="J42" s="856"/>
      <c r="K42" s="856"/>
      <c r="L42" s="856"/>
      <c r="M42" s="856"/>
      <c r="N42" s="856"/>
      <c r="O42" s="856"/>
      <c r="P42" s="856"/>
      <c r="Q42" s="856"/>
      <c r="R42" s="856"/>
      <c r="S42" s="856"/>
      <c r="T42" s="856"/>
      <c r="U42" s="812"/>
      <c r="V42" s="812"/>
      <c r="W42" s="812"/>
      <c r="X42" s="812"/>
      <c r="Y42" s="812"/>
      <c r="Z42" s="812"/>
      <c r="AA42" s="812"/>
      <c r="AB42" s="812"/>
      <c r="AC42" s="111"/>
      <c r="AD42" s="111"/>
      <c r="AE42" s="112"/>
      <c r="AF42" s="113"/>
    </row>
    <row r="43" spans="1:33" ht="18" customHeight="1" x14ac:dyDescent="0.2"/>
    <row r="44" spans="1:33" x14ac:dyDescent="0.2">
      <c r="A44" s="34" t="s">
        <v>132</v>
      </c>
      <c r="B44" s="34"/>
      <c r="C44" s="34"/>
      <c r="D44" s="34">
        <f>Tname</f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 t="s">
        <v>151</v>
      </c>
      <c r="U44" s="34"/>
      <c r="V44" s="840">
        <f>AnmeldeNummer</f>
        <v>0</v>
      </c>
      <c r="W44" s="840"/>
      <c r="X44" s="34"/>
      <c r="Y44" s="34"/>
      <c r="Z44" s="34"/>
      <c r="AA44" s="34"/>
      <c r="AB44" s="34"/>
      <c r="AC44" s="34"/>
      <c r="AD44" s="34"/>
      <c r="AE44" s="34"/>
      <c r="AF44" s="34"/>
    </row>
    <row r="45" spans="1:33" ht="4.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41"/>
      <c r="W45" s="41"/>
      <c r="X45" s="34"/>
      <c r="Y45" s="34"/>
      <c r="Z45" s="34"/>
      <c r="AA45" s="34"/>
      <c r="AB45" s="34"/>
      <c r="AC45" s="34"/>
      <c r="AD45" s="34"/>
      <c r="AE45" s="34"/>
      <c r="AF45" s="34"/>
    </row>
    <row r="46" spans="1:33" ht="12.75" customHeight="1" x14ac:dyDescent="0.2">
      <c r="A46" s="4" t="s">
        <v>396</v>
      </c>
      <c r="L46" s="858" t="str">
        <f ca="1">IF(ISERROR(VLOOKUP(HSOB,Beraternamen,2,0)),"",VLOOKUP(HSOB,Beraternamen,2,0))</f>
        <v/>
      </c>
      <c r="M46" s="858"/>
      <c r="N46" s="858"/>
      <c r="O46" s="858"/>
      <c r="P46" s="858"/>
      <c r="Q46" s="858"/>
      <c r="R46" s="858"/>
      <c r="S46" s="858"/>
      <c r="T46" s="858"/>
      <c r="U46" s="858"/>
      <c r="V46" s="858"/>
      <c r="W46" s="858"/>
      <c r="X46" s="857"/>
      <c r="Y46" s="857"/>
      <c r="Z46" s="857"/>
      <c r="AA46" s="843"/>
      <c r="AB46" s="863"/>
      <c r="AC46" s="864"/>
      <c r="AD46" s="861"/>
      <c r="AE46" s="862"/>
      <c r="AF46" s="862"/>
    </row>
    <row r="47" spans="1:33" ht="6.75" customHeight="1" x14ac:dyDescent="0.2">
      <c r="X47" s="857"/>
      <c r="Y47" s="857"/>
      <c r="Z47" s="857"/>
      <c r="AA47" s="843"/>
      <c r="AB47" s="864"/>
      <c r="AC47" s="864"/>
      <c r="AD47" s="862"/>
      <c r="AE47" s="862"/>
      <c r="AF47" s="862"/>
    </row>
    <row r="48" spans="1:33" ht="18" customHeight="1" x14ac:dyDescent="0.2">
      <c r="A48" s="4" t="s">
        <v>193</v>
      </c>
      <c r="J48" s="880"/>
      <c r="K48" s="880"/>
      <c r="L48" s="865"/>
      <c r="M48" s="885"/>
      <c r="N48" s="865"/>
      <c r="O48" s="865"/>
      <c r="P48" s="865"/>
      <c r="Q48" s="865"/>
      <c r="R48" s="865"/>
      <c r="S48" s="865"/>
      <c r="T48" s="66"/>
      <c r="U48" s="19"/>
      <c r="V48" s="766"/>
      <c r="W48" s="766"/>
      <c r="X48" s="19"/>
      <c r="Y48" s="19"/>
      <c r="Z48" s="19"/>
      <c r="AA48" s="19"/>
      <c r="AB48" s="19"/>
      <c r="AC48" s="19"/>
      <c r="AD48" s="19"/>
      <c r="AE48" s="19"/>
      <c r="AF48" s="19"/>
    </row>
    <row r="49" spans="1:33" ht="18" customHeight="1" x14ac:dyDescent="0.2">
      <c r="A49" s="76" t="s">
        <v>191</v>
      </c>
      <c r="B49" s="77"/>
      <c r="C49" s="77"/>
      <c r="D49" s="77"/>
      <c r="E49" s="77"/>
      <c r="F49" s="77"/>
      <c r="G49" s="77"/>
      <c r="H49" s="77"/>
      <c r="I49" s="75"/>
      <c r="J49" s="75"/>
      <c r="K49" s="75"/>
      <c r="L49" s="859" t="s">
        <v>202</v>
      </c>
      <c r="M49" s="859"/>
      <c r="N49" s="68"/>
      <c r="O49" s="882" t="s">
        <v>204</v>
      </c>
      <c r="P49" s="882"/>
      <c r="Q49" s="883"/>
      <c r="R49" s="849" t="s">
        <v>203</v>
      </c>
      <c r="S49" s="849"/>
      <c r="T49" s="818"/>
      <c r="U49" s="68"/>
      <c r="V49" s="68"/>
      <c r="W49" s="68"/>
      <c r="X49" s="68"/>
      <c r="Y49" s="68"/>
      <c r="Z49" s="68"/>
      <c r="AA49" s="68"/>
      <c r="AB49" s="68"/>
      <c r="AC49" s="68"/>
      <c r="AD49" s="820" t="s">
        <v>163</v>
      </c>
      <c r="AE49" s="820"/>
      <c r="AF49" s="881"/>
    </row>
    <row r="50" spans="1:33" s="35" customFormat="1" ht="24.75" customHeight="1" x14ac:dyDescent="0.2">
      <c r="A50" s="860" t="s">
        <v>764</v>
      </c>
      <c r="B50" s="765"/>
      <c r="C50" s="765"/>
      <c r="D50" s="765"/>
      <c r="E50" s="765"/>
      <c r="F50" s="765"/>
      <c r="G50" s="765"/>
      <c r="H50" s="765"/>
      <c r="I50" s="765"/>
      <c r="J50" s="765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764" t="str">
        <f>DOKU_Verk!B8</f>
        <v/>
      </c>
      <c r="V50" s="764"/>
      <c r="W50" s="764"/>
      <c r="X50" s="764"/>
      <c r="Y50" s="764"/>
      <c r="Z50" s="764"/>
      <c r="AA50" s="764"/>
      <c r="AB50" s="764"/>
      <c r="AC50" s="839"/>
      <c r="AD50" s="844">
        <f>DOKU_Verk!A16</f>
        <v>0</v>
      </c>
      <c r="AE50" s="884"/>
      <c r="AF50" s="846"/>
      <c r="AG50" s="229"/>
    </row>
    <row r="51" spans="1:33" s="35" customFormat="1" ht="32.25" customHeight="1" x14ac:dyDescent="0.2">
      <c r="A51" s="860" t="s">
        <v>871</v>
      </c>
      <c r="B51" s="765"/>
      <c r="C51" s="765"/>
      <c r="D51" s="765"/>
      <c r="E51" s="765"/>
      <c r="F51" s="765"/>
      <c r="G51" s="765"/>
      <c r="H51" s="765"/>
      <c r="I51" s="765"/>
      <c r="J51" s="765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764" t="str">
        <f>DOKU_Verk!D8</f>
        <v/>
      </c>
      <c r="V51" s="765"/>
      <c r="W51" s="765"/>
      <c r="X51" s="765"/>
      <c r="Y51" s="765"/>
      <c r="Z51" s="765"/>
      <c r="AA51" s="765"/>
      <c r="AB51" s="765"/>
      <c r="AC51" s="765"/>
      <c r="AD51" s="844">
        <f>DOKU_Verk!B16</f>
        <v>0</v>
      </c>
      <c r="AE51" s="884"/>
      <c r="AF51" s="846"/>
      <c r="AG51" s="229"/>
    </row>
    <row r="52" spans="1:33" s="35" customFormat="1" ht="29.25" customHeight="1" x14ac:dyDescent="0.2">
      <c r="A52" s="860" t="s">
        <v>774</v>
      </c>
      <c r="B52" s="765"/>
      <c r="C52" s="765"/>
      <c r="D52" s="765"/>
      <c r="E52" s="765"/>
      <c r="F52" s="765"/>
      <c r="G52" s="765"/>
      <c r="H52" s="765"/>
      <c r="I52" s="765"/>
      <c r="J52" s="765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764" t="str">
        <f>DOKU_Verk!F8</f>
        <v/>
      </c>
      <c r="V52" s="765"/>
      <c r="W52" s="765"/>
      <c r="X52" s="765"/>
      <c r="Y52" s="765"/>
      <c r="Z52" s="765"/>
      <c r="AA52" s="765"/>
      <c r="AB52" s="765"/>
      <c r="AC52" s="765"/>
      <c r="AD52" s="844">
        <f>DOKU_Verk!C16</f>
        <v>0</v>
      </c>
      <c r="AE52" s="884"/>
      <c r="AF52" s="846"/>
      <c r="AG52" s="229"/>
    </row>
    <row r="53" spans="1:33" s="35" customFormat="1" ht="28.5" customHeight="1" x14ac:dyDescent="0.2">
      <c r="A53" s="860" t="s">
        <v>767</v>
      </c>
      <c r="B53" s="765"/>
      <c r="C53" s="765"/>
      <c r="D53" s="765"/>
      <c r="E53" s="765"/>
      <c r="F53" s="765"/>
      <c r="G53" s="765"/>
      <c r="H53" s="765"/>
      <c r="I53" s="765"/>
      <c r="J53" s="765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764" t="str">
        <f>DOKU_Verk!H8</f>
        <v/>
      </c>
      <c r="V53" s="765"/>
      <c r="W53" s="765"/>
      <c r="X53" s="765"/>
      <c r="Y53" s="765"/>
      <c r="Z53" s="765"/>
      <c r="AA53" s="765"/>
      <c r="AB53" s="765"/>
      <c r="AC53" s="765"/>
      <c r="AD53" s="844">
        <f>DOKU_Verk!D16</f>
        <v>0</v>
      </c>
      <c r="AE53" s="884"/>
      <c r="AF53" s="846"/>
      <c r="AG53" s="229"/>
    </row>
    <row r="54" spans="1:33" s="35" customFormat="1" ht="26.25" customHeight="1" x14ac:dyDescent="0.2">
      <c r="A54" s="860" t="s">
        <v>842</v>
      </c>
      <c r="B54" s="765"/>
      <c r="C54" s="765"/>
      <c r="D54" s="765"/>
      <c r="E54" s="765"/>
      <c r="F54" s="765"/>
      <c r="G54" s="765"/>
      <c r="H54" s="765"/>
      <c r="I54" s="765"/>
      <c r="J54" s="765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764" t="str">
        <f>DOKU_Verk!J8</f>
        <v/>
      </c>
      <c r="V54" s="765"/>
      <c r="W54" s="765"/>
      <c r="X54" s="765"/>
      <c r="Y54" s="765"/>
      <c r="Z54" s="765"/>
      <c r="AA54" s="765"/>
      <c r="AB54" s="765"/>
      <c r="AC54" s="765"/>
      <c r="AD54" s="844">
        <f>DOKU_Verk!E16</f>
        <v>0</v>
      </c>
      <c r="AE54" s="884"/>
      <c r="AF54" s="846"/>
      <c r="AG54" s="229"/>
    </row>
    <row r="55" spans="1:33" s="35" customFormat="1" ht="19.5" customHeight="1" x14ac:dyDescent="0.2">
      <c r="A55" s="116"/>
      <c r="B55" s="115"/>
      <c r="C55" s="115"/>
      <c r="D55" s="115"/>
      <c r="E55" s="115"/>
      <c r="F55" s="115"/>
      <c r="G55" s="115"/>
      <c r="H55" s="115"/>
      <c r="I55" s="115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7"/>
      <c r="V55" s="115"/>
      <c r="W55" s="115"/>
      <c r="X55" s="115"/>
      <c r="Y55" s="888" t="s">
        <v>36</v>
      </c>
      <c r="Z55" s="888"/>
      <c r="AA55" s="888"/>
      <c r="AB55" s="888"/>
      <c r="AC55" s="118"/>
      <c r="AD55" s="916">
        <f>SUM(AD50:AF54)</f>
        <v>0</v>
      </c>
      <c r="AE55" s="917"/>
      <c r="AF55" s="918"/>
      <c r="AG55" s="229"/>
    </row>
    <row r="56" spans="1:33" s="35" customFormat="1" ht="40.5" customHeight="1" x14ac:dyDescent="0.2">
      <c r="A56" s="121" t="s">
        <v>190</v>
      </c>
      <c r="B56" s="122"/>
      <c r="C56" s="122"/>
      <c r="D56" s="122"/>
      <c r="E56" s="122"/>
      <c r="F56" s="122"/>
      <c r="G56" s="122"/>
      <c r="H56" s="123"/>
      <c r="I56" s="123"/>
      <c r="J56" s="123"/>
      <c r="K56" s="123"/>
      <c r="L56" s="123"/>
      <c r="M56" s="123"/>
      <c r="N56" s="123"/>
      <c r="O56" s="898" t="s">
        <v>615</v>
      </c>
      <c r="P56" s="899"/>
      <c r="Q56" s="899"/>
      <c r="R56" s="899"/>
      <c r="S56" s="899"/>
      <c r="T56" s="899"/>
      <c r="U56" s="899"/>
      <c r="V56" s="899"/>
      <c r="W56" s="899"/>
      <c r="X56" s="899"/>
      <c r="Y56" s="899"/>
      <c r="Z56" s="899"/>
      <c r="AA56" s="899"/>
      <c r="AB56" s="899"/>
      <c r="AC56" s="899"/>
      <c r="AD56" s="844">
        <f>DOKU_Verk!J16</f>
        <v>0</v>
      </c>
      <c r="AE56" s="845"/>
      <c r="AF56" s="846"/>
      <c r="AG56" s="229"/>
    </row>
    <row r="57" spans="1:33" s="35" customFormat="1" ht="27.75" customHeight="1" x14ac:dyDescent="0.2">
      <c r="A57" s="886"/>
      <c r="B57" s="887"/>
      <c r="C57" s="887"/>
      <c r="D57" s="887"/>
      <c r="E57" s="887"/>
      <c r="F57" s="887"/>
      <c r="G57" s="887"/>
      <c r="H57" s="100"/>
      <c r="I57" s="100"/>
      <c r="J57" s="100"/>
      <c r="K57" s="100"/>
      <c r="L57" s="100"/>
      <c r="M57" s="100"/>
      <c r="N57" s="100"/>
      <c r="O57" s="119"/>
      <c r="P57" s="120"/>
      <c r="Q57" s="120"/>
      <c r="R57" s="120"/>
      <c r="S57" s="120"/>
      <c r="T57" s="120"/>
      <c r="U57" s="120"/>
      <c r="V57" s="875" t="s">
        <v>37</v>
      </c>
      <c r="W57" s="875"/>
      <c r="X57" s="875"/>
      <c r="Y57" s="875"/>
      <c r="Z57" s="875"/>
      <c r="AA57" s="875"/>
      <c r="AB57" s="875"/>
      <c r="AC57" s="120"/>
      <c r="AD57" s="910">
        <f>SUM(AD55:AF56)</f>
        <v>0</v>
      </c>
      <c r="AE57" s="911"/>
      <c r="AF57" s="912"/>
      <c r="AG57" s="229"/>
    </row>
    <row r="58" spans="1:33" s="35" customFormat="1" ht="27.75" customHeight="1" x14ac:dyDescent="0.2">
      <c r="A58" s="921" t="s">
        <v>989</v>
      </c>
      <c r="B58" s="922"/>
      <c r="C58" s="922"/>
      <c r="D58" s="922"/>
      <c r="E58" s="922"/>
      <c r="F58" s="922"/>
      <c r="G58" s="922"/>
      <c r="H58" s="922"/>
      <c r="I58" s="922"/>
      <c r="J58" s="922"/>
      <c r="K58" s="922"/>
      <c r="L58" s="922"/>
      <c r="M58" s="922"/>
      <c r="N58" s="922"/>
      <c r="O58" s="922"/>
      <c r="P58" s="922"/>
      <c r="Q58" s="922"/>
      <c r="R58" s="922"/>
      <c r="S58" s="922"/>
      <c r="T58" s="922"/>
      <c r="U58" s="922"/>
      <c r="V58" s="110"/>
      <c r="W58" s="110"/>
      <c r="X58" s="110"/>
      <c r="Y58" s="110"/>
      <c r="Z58" s="110"/>
      <c r="AA58" s="923"/>
      <c r="AB58" s="923"/>
      <c r="AC58" s="923"/>
      <c r="AD58" s="30"/>
      <c r="AF58" s="290"/>
      <c r="AG58" s="229"/>
    </row>
    <row r="59" spans="1:33" s="35" customFormat="1" ht="54.75" customHeight="1" x14ac:dyDescent="0.2">
      <c r="A59" s="913" t="s">
        <v>616</v>
      </c>
      <c r="B59" s="914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5"/>
      <c r="AG59" s="229"/>
    </row>
    <row r="60" spans="1:33" ht="30.75" customHeight="1" x14ac:dyDescent="0.2">
      <c r="A60" s="288" t="s">
        <v>135</v>
      </c>
      <c r="B60" s="289"/>
      <c r="C60" s="289"/>
      <c r="D60" s="289"/>
      <c r="E60" s="289"/>
      <c r="F60" s="289"/>
      <c r="G60" s="289"/>
      <c r="H60" s="419" t="s">
        <v>173</v>
      </c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872"/>
      <c r="W60" s="872"/>
      <c r="X60" s="289"/>
      <c r="Y60" s="289"/>
      <c r="Z60" s="289"/>
      <c r="AA60" s="289"/>
      <c r="AB60" s="289"/>
      <c r="AC60" s="289"/>
      <c r="AD60" s="289"/>
      <c r="AE60" s="289"/>
      <c r="AF60" s="290"/>
    </row>
    <row r="61" spans="1:33" ht="9" customHeight="1" x14ac:dyDescent="0.2"/>
    <row r="62" spans="1:33" x14ac:dyDescent="0.2">
      <c r="A62" s="40" t="s">
        <v>392</v>
      </c>
      <c r="B62" s="5"/>
      <c r="C62" s="5"/>
      <c r="D62" s="5"/>
      <c r="E62" s="5"/>
      <c r="F62" s="5"/>
      <c r="G62" s="93"/>
      <c r="H62" s="895" t="s">
        <v>157</v>
      </c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  <c r="AC62" s="896"/>
      <c r="AD62" s="896"/>
      <c r="AE62" s="896"/>
      <c r="AF62" s="897"/>
    </row>
    <row r="63" spans="1:33" x14ac:dyDescent="0.2">
      <c r="A63" s="39" t="s">
        <v>156</v>
      </c>
      <c r="B63" s="5"/>
      <c r="C63" s="5"/>
      <c r="D63" s="5"/>
      <c r="E63" s="5"/>
      <c r="F63" s="5"/>
      <c r="G63" s="841">
        <f>kostges</f>
        <v>0</v>
      </c>
      <c r="H63" s="841"/>
      <c r="I63" s="841"/>
      <c r="J63" s="842"/>
      <c r="K63" s="44"/>
      <c r="L63" s="44"/>
      <c r="M63" s="44" t="s">
        <v>158</v>
      </c>
      <c r="N63" s="44"/>
      <c r="O63" s="44"/>
      <c r="P63" s="44"/>
      <c r="Q63" s="841">
        <f>kostges/Laufzeit</f>
        <v>0</v>
      </c>
      <c r="R63" s="873"/>
      <c r="S63" s="874"/>
      <c r="T63" s="44"/>
      <c r="U63" s="44" t="s">
        <v>159</v>
      </c>
      <c r="V63" s="44"/>
      <c r="W63" s="841" t="str">
        <f>IF(kostges=0,"",SUM(kostges/TNanz))</f>
        <v/>
      </c>
      <c r="X63" s="873"/>
      <c r="Y63" s="874"/>
      <c r="Z63" s="44"/>
      <c r="AA63" s="44" t="s">
        <v>160</v>
      </c>
      <c r="AB63" s="44"/>
      <c r="AC63" s="44"/>
      <c r="AD63" s="841" t="str">
        <f>IF(kostges=0,"",SUM(kostges/TNpl/Laufzeit))</f>
        <v/>
      </c>
      <c r="AE63" s="841"/>
      <c r="AF63" s="842"/>
    </row>
    <row r="64" spans="1:33" x14ac:dyDescent="0.2">
      <c r="A64" s="260" t="s">
        <v>931</v>
      </c>
      <c r="B64" s="5"/>
      <c r="C64" s="5"/>
      <c r="D64" s="5"/>
      <c r="E64" s="5"/>
      <c r="F64" s="5"/>
      <c r="G64" s="841">
        <f>esfges</f>
        <v>0</v>
      </c>
      <c r="H64" s="873"/>
      <c r="I64" s="873"/>
      <c r="J64" s="874"/>
      <c r="K64" s="44"/>
      <c r="L64" s="44"/>
      <c r="M64" s="44" t="s">
        <v>158</v>
      </c>
      <c r="N64" s="44"/>
      <c r="O64" s="44"/>
      <c r="P64" s="44"/>
      <c r="Q64" s="841">
        <f>esfges/Laufzeit</f>
        <v>0</v>
      </c>
      <c r="R64" s="873"/>
      <c r="S64" s="874"/>
      <c r="T64" s="44"/>
      <c r="U64" s="44" t="s">
        <v>159</v>
      </c>
      <c r="V64" s="44"/>
      <c r="W64" s="870" t="str">
        <f>IF(esfges=0,"",SUM(esfges/TNanz))</f>
        <v/>
      </c>
      <c r="X64" s="870"/>
      <c r="Y64" s="871"/>
      <c r="Z64" s="348"/>
      <c r="AA64" s="44" t="s">
        <v>160</v>
      </c>
      <c r="AB64" s="44"/>
      <c r="AC64" s="44"/>
      <c r="AD64" s="841" t="str">
        <f>IF(esfges=0,"",SUM(esfges/TNpl/Laufzeit))</f>
        <v/>
      </c>
      <c r="AE64" s="841"/>
      <c r="AF64" s="842"/>
    </row>
    <row r="65" spans="1:32" x14ac:dyDescent="0.2">
      <c r="A65" s="260" t="s">
        <v>752</v>
      </c>
      <c r="B65" s="5"/>
      <c r="C65" s="5"/>
      <c r="D65" s="5"/>
      <c r="E65" s="5"/>
      <c r="F65" s="5"/>
      <c r="G65" s="841">
        <f>aktivkofi</f>
        <v>0</v>
      </c>
      <c r="H65" s="873"/>
      <c r="I65" s="873"/>
      <c r="J65" s="874"/>
      <c r="K65" s="44"/>
      <c r="L65" s="44"/>
      <c r="M65" s="44" t="s">
        <v>158</v>
      </c>
      <c r="N65" s="44"/>
      <c r="O65" s="44"/>
      <c r="P65" s="44"/>
      <c r="Q65" s="841">
        <f>aktivkofi/Laufzeit</f>
        <v>0</v>
      </c>
      <c r="R65" s="873"/>
      <c r="S65" s="874"/>
      <c r="T65" s="44"/>
      <c r="U65" s="44" t="s">
        <v>159</v>
      </c>
      <c r="V65" s="44"/>
      <c r="W65" s="870" t="str">
        <f>IF(aktivkofi=0,"",SUM(aktivkofi/TNanz))</f>
        <v/>
      </c>
      <c r="X65" s="870"/>
      <c r="Y65" s="871"/>
      <c r="Z65" s="348"/>
      <c r="AA65" s="44" t="s">
        <v>160</v>
      </c>
      <c r="AB65" s="44"/>
      <c r="AC65" s="44"/>
      <c r="AD65" s="841" t="str">
        <f>IF(aktivkofi=0,"",SUM(aktivkofi/TNpl/Laufzeit))</f>
        <v/>
      </c>
      <c r="AE65" s="841"/>
      <c r="AF65" s="842"/>
    </row>
    <row r="66" spans="1:32" ht="12" customHeight="1" x14ac:dyDescent="0.2">
      <c r="A66" s="260" t="s">
        <v>753</v>
      </c>
      <c r="B66" s="5"/>
      <c r="C66" s="5"/>
      <c r="D66" s="5"/>
      <c r="E66" s="5"/>
      <c r="F66" s="5"/>
      <c r="G66" s="841">
        <f>entgeltTNges</f>
        <v>0</v>
      </c>
      <c r="H66" s="873"/>
      <c r="I66" s="873"/>
      <c r="J66" s="874"/>
      <c r="K66" s="44"/>
      <c r="L66" s="44"/>
      <c r="M66" s="44" t="s">
        <v>158</v>
      </c>
      <c r="N66" s="44"/>
      <c r="O66" s="44"/>
      <c r="P66" s="44"/>
      <c r="Q66" s="841">
        <f>entgeltTNges/Laufzeit</f>
        <v>0</v>
      </c>
      <c r="R66" s="873"/>
      <c r="S66" s="874"/>
      <c r="T66" s="44"/>
      <c r="U66" s="44" t="s">
        <v>159</v>
      </c>
      <c r="V66" s="44"/>
      <c r="W66" s="870" t="str">
        <f>IF(entgeltTNges=0,"",SUM(entgeltTNges/TNanz))</f>
        <v/>
      </c>
      <c r="X66" s="870"/>
      <c r="Y66" s="871"/>
      <c r="Z66" s="348"/>
      <c r="AA66" s="44" t="s">
        <v>160</v>
      </c>
      <c r="AB66" s="44"/>
      <c r="AC66" s="44"/>
      <c r="AD66" s="841" t="str">
        <f>IF(entgeltTNges=0,"",SUM(entgeltTNges/TNpl/Laufzeit))</f>
        <v/>
      </c>
      <c r="AE66" s="841"/>
      <c r="AF66" s="842"/>
    </row>
    <row r="67" spans="1:32" ht="17.25" customHeight="1" x14ac:dyDescent="0.2">
      <c r="A67" s="42" t="s">
        <v>179</v>
      </c>
      <c r="B67" s="353"/>
      <c r="C67" s="353"/>
      <c r="D67" s="353"/>
      <c r="E67" s="353"/>
      <c r="F67" s="353"/>
      <c r="G67" s="353"/>
      <c r="H67" s="357" t="s">
        <v>180</v>
      </c>
      <c r="I67" s="357"/>
      <c r="J67" s="357"/>
      <c r="K67" s="752">
        <v>2022</v>
      </c>
      <c r="L67" s="753"/>
      <c r="M67" s="753"/>
      <c r="N67" s="753"/>
      <c r="O67" s="357"/>
      <c r="P67" s="754">
        <v>2023</v>
      </c>
      <c r="Q67" s="755"/>
      <c r="R67" s="755"/>
      <c r="S67" s="755"/>
      <c r="T67" s="357"/>
      <c r="U67" s="752">
        <v>2024</v>
      </c>
      <c r="V67" s="753"/>
      <c r="W67" s="753"/>
      <c r="X67" s="351"/>
      <c r="Y67" s="752"/>
      <c r="Z67" s="753"/>
      <c r="AA67" s="753"/>
      <c r="AB67" s="233"/>
      <c r="AC67" s="357"/>
      <c r="AD67" s="357"/>
      <c r="AE67" s="357"/>
      <c r="AF67" s="262"/>
    </row>
    <row r="68" spans="1:32" ht="18" customHeight="1" x14ac:dyDescent="0.2">
      <c r="A68" s="358" t="s">
        <v>758</v>
      </c>
      <c r="B68" s="353"/>
      <c r="C68" s="353"/>
      <c r="D68" s="353"/>
      <c r="E68" s="748">
        <f>kostges</f>
        <v>0</v>
      </c>
      <c r="F68" s="739"/>
      <c r="G68" s="739"/>
      <c r="H68" s="739"/>
      <c r="I68" s="739"/>
      <c r="J68" s="356"/>
      <c r="K68" s="735">
        <f>Kost1jahr</f>
        <v>0</v>
      </c>
      <c r="L68" s="736"/>
      <c r="M68" s="736"/>
      <c r="N68" s="736"/>
      <c r="O68" s="353"/>
      <c r="P68" s="735">
        <f>Kost2jahr</f>
        <v>0</v>
      </c>
      <c r="Q68" s="739"/>
      <c r="R68" s="739"/>
      <c r="S68" s="739"/>
      <c r="T68" s="356"/>
      <c r="U68" s="735">
        <f>Kost3jahr</f>
        <v>0</v>
      </c>
      <c r="V68" s="739"/>
      <c r="W68" s="739"/>
      <c r="X68" s="356"/>
      <c r="Y68" s="740"/>
      <c r="Z68" s="741"/>
      <c r="AA68" s="741"/>
      <c r="AB68" s="353"/>
      <c r="AC68" s="770" t="s">
        <v>754</v>
      </c>
      <c r="AD68" s="738"/>
      <c r="AE68" s="738"/>
      <c r="AF68" s="263"/>
    </row>
    <row r="69" spans="1:32" x14ac:dyDescent="0.2">
      <c r="A69" s="358" t="s">
        <v>931</v>
      </c>
      <c r="B69" s="353"/>
      <c r="C69" s="353"/>
      <c r="D69" s="353"/>
      <c r="E69" s="735">
        <f>esfges</f>
        <v>0</v>
      </c>
      <c r="F69" s="739"/>
      <c r="G69" s="739"/>
      <c r="H69" s="739"/>
      <c r="I69" s="739"/>
      <c r="J69" s="356"/>
      <c r="K69" s="735">
        <f>esf1jahr</f>
        <v>0</v>
      </c>
      <c r="L69" s="736"/>
      <c r="M69" s="736"/>
      <c r="N69" s="736"/>
      <c r="O69" s="356"/>
      <c r="P69" s="735">
        <f>esf2jahr</f>
        <v>0</v>
      </c>
      <c r="Q69" s="739"/>
      <c r="R69" s="739"/>
      <c r="S69" s="739"/>
      <c r="T69" s="356"/>
      <c r="U69" s="735">
        <f>esf3jahr</f>
        <v>0</v>
      </c>
      <c r="V69" s="739"/>
      <c r="W69" s="739"/>
      <c r="X69" s="356"/>
      <c r="Y69" s="740"/>
      <c r="Z69" s="741"/>
      <c r="AA69" s="741"/>
      <c r="AB69" s="353"/>
      <c r="AC69" s="737" t="str">
        <f>IF(esfges=0,"",SUM(esfges/kostges))</f>
        <v/>
      </c>
      <c r="AD69" s="738"/>
      <c r="AE69" s="738"/>
      <c r="AF69" s="263"/>
    </row>
    <row r="70" spans="1:32" x14ac:dyDescent="0.2">
      <c r="A70" s="358" t="s">
        <v>897</v>
      </c>
      <c r="B70" s="353"/>
      <c r="C70" s="353"/>
      <c r="D70" s="353"/>
      <c r="E70" s="735">
        <f>mastdges</f>
        <v>0</v>
      </c>
      <c r="F70" s="739"/>
      <c r="G70" s="739"/>
      <c r="H70" s="739"/>
      <c r="I70" s="739"/>
      <c r="J70" s="356"/>
      <c r="K70" s="735">
        <f>mastd1jahr</f>
        <v>0</v>
      </c>
      <c r="L70" s="736"/>
      <c r="M70" s="736"/>
      <c r="N70" s="736"/>
      <c r="O70" s="356"/>
      <c r="P70" s="735">
        <f>mastd2jahr</f>
        <v>0</v>
      </c>
      <c r="Q70" s="739"/>
      <c r="R70" s="739"/>
      <c r="S70" s="739"/>
      <c r="T70" s="356"/>
      <c r="U70" s="735">
        <f>mastd3jahr</f>
        <v>0</v>
      </c>
      <c r="V70" s="739"/>
      <c r="W70" s="739"/>
      <c r="X70" s="356"/>
      <c r="Y70" s="740"/>
      <c r="Z70" s="741"/>
      <c r="AA70" s="741"/>
      <c r="AB70" s="353"/>
      <c r="AC70" s="737" t="str">
        <f>IF(mastdges=0,"",SUM(mastdges/kostges))</f>
        <v/>
      </c>
      <c r="AD70" s="738"/>
      <c r="AE70" s="738"/>
      <c r="AF70" s="263"/>
    </row>
    <row r="71" spans="1:32" x14ac:dyDescent="0.2">
      <c r="A71" s="358" t="s">
        <v>942</v>
      </c>
      <c r="B71" s="353"/>
      <c r="C71" s="353"/>
      <c r="D71" s="353"/>
      <c r="E71" s="735">
        <f>mbges</f>
        <v>0</v>
      </c>
      <c r="F71" s="739"/>
      <c r="G71" s="739"/>
      <c r="H71" s="739"/>
      <c r="I71" s="739"/>
      <c r="J71" s="356"/>
      <c r="K71" s="735">
        <f>mb1jahr</f>
        <v>0</v>
      </c>
      <c r="L71" s="736"/>
      <c r="M71" s="736"/>
      <c r="N71" s="736"/>
      <c r="O71" s="356"/>
      <c r="P71" s="735">
        <f>mb2jahr</f>
        <v>0</v>
      </c>
      <c r="Q71" s="739"/>
      <c r="R71" s="739"/>
      <c r="S71" s="739"/>
      <c r="T71" s="356"/>
      <c r="U71" s="735">
        <f>mb3jahr</f>
        <v>0</v>
      </c>
      <c r="V71" s="739"/>
      <c r="W71" s="739"/>
      <c r="X71" s="356"/>
      <c r="Y71" s="740"/>
      <c r="Z71" s="741"/>
      <c r="AA71" s="741"/>
      <c r="AB71" s="353"/>
      <c r="AC71" s="737" t="str">
        <f>IF(mbges=0,"",SUM(mbges/kostges))</f>
        <v/>
      </c>
      <c r="AD71" s="738"/>
      <c r="AE71" s="738"/>
      <c r="AF71" s="263"/>
    </row>
    <row r="72" spans="1:32" ht="15" customHeight="1" x14ac:dyDescent="0.2">
      <c r="A72" s="358" t="s">
        <v>895</v>
      </c>
      <c r="B72" s="353"/>
      <c r="C72" s="353"/>
      <c r="D72" s="353"/>
      <c r="E72" s="735">
        <f>mffkiges</f>
        <v>0</v>
      </c>
      <c r="F72" s="739"/>
      <c r="G72" s="739"/>
      <c r="H72" s="739"/>
      <c r="I72" s="739"/>
      <c r="J72" s="356"/>
      <c r="K72" s="735">
        <f>mffki1jahr</f>
        <v>0</v>
      </c>
      <c r="L72" s="736"/>
      <c r="M72" s="736"/>
      <c r="N72" s="736"/>
      <c r="O72" s="356"/>
      <c r="P72" s="748">
        <f>mffki2jahr</f>
        <v>0</v>
      </c>
      <c r="Q72" s="739"/>
      <c r="R72" s="739"/>
      <c r="S72" s="739"/>
      <c r="T72" s="356"/>
      <c r="U72" s="748">
        <f>mffki3jahr</f>
        <v>0</v>
      </c>
      <c r="V72" s="739"/>
      <c r="W72" s="739"/>
      <c r="X72" s="354"/>
      <c r="Y72" s="749"/>
      <c r="Z72" s="741"/>
      <c r="AA72" s="741"/>
      <c r="AB72" s="353"/>
      <c r="AC72" s="737" t="str">
        <f>IF(mffkiges=0,"",SUM(mffkiges/kostges))</f>
        <v/>
      </c>
      <c r="AD72" s="738"/>
      <c r="AE72" s="738"/>
      <c r="AF72" s="263"/>
    </row>
    <row r="73" spans="1:32" ht="15" customHeight="1" x14ac:dyDescent="0.2">
      <c r="A73" s="359" t="s">
        <v>896</v>
      </c>
      <c r="B73" s="353"/>
      <c r="C73" s="353"/>
      <c r="D73" s="353"/>
      <c r="E73" s="735">
        <f>mwgges</f>
        <v>0</v>
      </c>
      <c r="F73" s="739"/>
      <c r="G73" s="739"/>
      <c r="H73" s="739"/>
      <c r="I73" s="739"/>
      <c r="J73" s="356"/>
      <c r="K73" s="735">
        <f>mwg1jahr</f>
        <v>0</v>
      </c>
      <c r="L73" s="736"/>
      <c r="M73" s="736"/>
      <c r="N73" s="736"/>
      <c r="O73" s="356"/>
      <c r="P73" s="748">
        <f>mwg2jahr</f>
        <v>0</v>
      </c>
      <c r="Q73" s="739"/>
      <c r="R73" s="739"/>
      <c r="S73" s="739"/>
      <c r="T73" s="356"/>
      <c r="U73" s="748">
        <f>mwg3jahr</f>
        <v>0</v>
      </c>
      <c r="V73" s="739"/>
      <c r="W73" s="739"/>
      <c r="X73" s="354"/>
      <c r="Y73" s="749"/>
      <c r="Z73" s="741"/>
      <c r="AA73" s="741"/>
      <c r="AB73" s="353"/>
      <c r="AC73" s="737" t="str">
        <f>IF(mwgges=0,"",SUM(mwgges/kostges))</f>
        <v/>
      </c>
      <c r="AD73" s="738"/>
      <c r="AE73" s="738"/>
      <c r="AF73" s="263"/>
    </row>
    <row r="74" spans="1:32" x14ac:dyDescent="0.2">
      <c r="A74" s="359" t="s">
        <v>746</v>
      </c>
      <c r="B74" s="353"/>
      <c r="C74" s="353"/>
      <c r="D74" s="353"/>
      <c r="E74" s="742">
        <f>SUM(kostges-esfges-mastdges-mbges-mffkiges-mwgges)</f>
        <v>0</v>
      </c>
      <c r="F74" s="743"/>
      <c r="G74" s="743"/>
      <c r="H74" s="743"/>
      <c r="I74" s="744"/>
      <c r="J74" s="356"/>
      <c r="K74" s="742">
        <f>SUM(K68)-SUM(K69:N73 )</f>
        <v>0</v>
      </c>
      <c r="L74" s="743"/>
      <c r="M74" s="743"/>
      <c r="N74" s="744"/>
      <c r="O74" s="356"/>
      <c r="P74" s="742">
        <f>SUM(P68)-SUM(P69:S73 )</f>
        <v>0</v>
      </c>
      <c r="Q74" s="743"/>
      <c r="R74" s="743"/>
      <c r="S74" s="744"/>
      <c r="T74" s="356"/>
      <c r="U74" s="742">
        <f>SUM(U68)-SUM(U69:W73 )</f>
        <v>0</v>
      </c>
      <c r="V74" s="743"/>
      <c r="W74" s="744"/>
      <c r="X74" s="356"/>
      <c r="Y74" s="740"/>
      <c r="Z74" s="740"/>
      <c r="AA74" s="740"/>
      <c r="AB74" s="353"/>
      <c r="AC74" s="745" t="str">
        <f>IF(E74=0,"",SUM(E74/kostges))</f>
        <v/>
      </c>
      <c r="AD74" s="746"/>
      <c r="AE74" s="747"/>
      <c r="AF74" s="263"/>
    </row>
    <row r="75" spans="1:32" ht="33.75" customHeight="1" x14ac:dyDescent="0.2">
      <c r="A75" s="892" t="s">
        <v>756</v>
      </c>
      <c r="B75" s="893"/>
      <c r="C75" s="893"/>
      <c r="D75" s="893"/>
      <c r="E75" s="893"/>
      <c r="F75" s="353"/>
      <c r="G75" s="353"/>
      <c r="H75" s="360" t="s">
        <v>757</v>
      </c>
      <c r="I75" s="360"/>
      <c r="J75" s="360"/>
      <c r="K75" s="360"/>
      <c r="L75" s="360"/>
      <c r="M75" s="894" t="s">
        <v>707</v>
      </c>
      <c r="N75" s="894"/>
      <c r="O75" s="894"/>
      <c r="P75" s="894"/>
      <c r="Q75" s="353"/>
      <c r="R75" s="894" t="s">
        <v>953</v>
      </c>
      <c r="S75" s="894"/>
      <c r="T75" s="894"/>
      <c r="U75" s="894"/>
      <c r="V75" s="353"/>
      <c r="W75" s="261"/>
      <c r="X75" s="261"/>
      <c r="Y75" s="261"/>
      <c r="Z75" s="261"/>
      <c r="AA75" s="353"/>
      <c r="AB75" s="353"/>
      <c r="AC75" s="353"/>
      <c r="AD75" s="353"/>
      <c r="AE75" s="353"/>
      <c r="AF75" s="352"/>
    </row>
    <row r="76" spans="1:32" x14ac:dyDescent="0.2">
      <c r="A76" s="892"/>
      <c r="B76" s="893"/>
      <c r="C76" s="893"/>
      <c r="D76" s="893"/>
      <c r="E76" s="893"/>
      <c r="F76" s="353"/>
      <c r="G76" s="353"/>
      <c r="H76" s="889">
        <f>kostges-entgeltTNges</f>
        <v>0</v>
      </c>
      <c r="I76" s="890"/>
      <c r="J76" s="890"/>
      <c r="K76" s="891"/>
      <c r="L76" s="353"/>
      <c r="M76" s="889">
        <f>aktivkofi</f>
        <v>0</v>
      </c>
      <c r="N76" s="890"/>
      <c r="O76" s="890"/>
      <c r="P76" s="891"/>
      <c r="Q76" s="353"/>
      <c r="R76" s="889">
        <f>esfges</f>
        <v>0</v>
      </c>
      <c r="S76" s="890"/>
      <c r="T76" s="890"/>
      <c r="U76" s="891"/>
      <c r="V76" s="353"/>
      <c r="W76" s="903"/>
      <c r="X76" s="903"/>
      <c r="Y76" s="347"/>
      <c r="Z76" s="347"/>
      <c r="AA76" s="353"/>
      <c r="AB76" s="353"/>
      <c r="AC76" s="353"/>
      <c r="AD76" s="353"/>
      <c r="AE76" s="353"/>
      <c r="AF76" s="352"/>
    </row>
    <row r="77" spans="1:32" ht="12" customHeight="1" x14ac:dyDescent="0.2">
      <c r="A77" s="148"/>
      <c r="B77" s="67"/>
      <c r="C77" s="67"/>
      <c r="D77" s="67"/>
      <c r="E77" s="67"/>
      <c r="F77" s="353"/>
      <c r="G77" s="353"/>
      <c r="H77" s="347"/>
      <c r="I77" s="355"/>
      <c r="J77" s="355"/>
      <c r="K77" s="355"/>
      <c r="L77" s="353"/>
      <c r="M77" s="906" t="str">
        <f>IF(aktivkofi=0,"",SUM(aktivkofi/(kostges-entgeltTNges)))</f>
        <v/>
      </c>
      <c r="N77" s="907"/>
      <c r="O77" s="907"/>
      <c r="P77" s="908"/>
      <c r="Q77" s="353"/>
      <c r="R77" s="906" t="str">
        <f>IF(esfges=0,"",SUM(esfges/(kostges-entgeltTNges)))</f>
        <v/>
      </c>
      <c r="S77" s="907"/>
      <c r="T77" s="907"/>
      <c r="U77" s="908"/>
      <c r="V77" s="353"/>
      <c r="W77" s="909"/>
      <c r="X77" s="909"/>
      <c r="Y77" s="353"/>
      <c r="Z77" s="353"/>
      <c r="AA77" s="353"/>
      <c r="AB77" s="353"/>
      <c r="AC77" s="353"/>
      <c r="AD77" s="353"/>
      <c r="AE77" s="353"/>
      <c r="AF77" s="352"/>
    </row>
    <row r="78" spans="1:32" ht="13.5" customHeight="1" x14ac:dyDescent="0.2">
      <c r="A78" s="901" t="s">
        <v>638</v>
      </c>
      <c r="B78" s="902"/>
      <c r="C78" s="902"/>
      <c r="D78" s="902"/>
      <c r="E78" s="902"/>
      <c r="F78" s="902"/>
      <c r="G78" s="902"/>
      <c r="H78" s="902"/>
      <c r="I78" s="902"/>
      <c r="J78" s="902"/>
      <c r="K78" s="794"/>
      <c r="L78" s="794"/>
      <c r="M78" s="794"/>
      <c r="N78" s="794"/>
      <c r="O78" s="794"/>
      <c r="P78" s="794"/>
      <c r="Q78" s="794"/>
      <c r="R78" s="794"/>
      <c r="S78" s="794"/>
      <c r="T78" s="794"/>
      <c r="U78" s="794"/>
      <c r="V78" s="794"/>
      <c r="W78" s="794"/>
      <c r="X78" s="794"/>
      <c r="Y78" s="794"/>
      <c r="Z78" s="794"/>
      <c r="AA78" s="794"/>
      <c r="AB78" s="794"/>
      <c r="AC78" s="794"/>
      <c r="AD78" s="794"/>
      <c r="AE78" s="794"/>
      <c r="AF78" s="900"/>
    </row>
    <row r="79" spans="1:32" ht="16.5" customHeight="1" x14ac:dyDescent="0.2">
      <c r="A79" s="150"/>
      <c r="B79" s="755" t="s">
        <v>620</v>
      </c>
      <c r="C79" s="755"/>
      <c r="D79" s="755"/>
      <c r="E79" s="755"/>
      <c r="F79" s="755"/>
      <c r="G79" s="755"/>
      <c r="H79" s="755"/>
      <c r="I79" s="755"/>
      <c r="J79" s="772"/>
      <c r="K79" s="150"/>
      <c r="L79" s="264" t="s">
        <v>759</v>
      </c>
      <c r="M79" s="5"/>
      <c r="N79" s="5"/>
      <c r="O79" s="5"/>
      <c r="P79" s="5"/>
      <c r="Q79" s="5"/>
      <c r="R79" s="5"/>
      <c r="S79" s="5"/>
      <c r="T79" s="5"/>
      <c r="U79" s="5"/>
      <c r="V79" s="93"/>
      <c r="W79" s="150"/>
      <c r="X79" s="5" t="s">
        <v>639</v>
      </c>
      <c r="Y79" s="5"/>
      <c r="Z79" s="5"/>
      <c r="AA79" s="5"/>
      <c r="AB79" s="5"/>
      <c r="AC79" s="5"/>
      <c r="AD79" s="5"/>
      <c r="AE79" s="5"/>
      <c r="AF79" s="93"/>
    </row>
    <row r="80" spans="1:32" ht="16.5" customHeight="1" x14ac:dyDescent="0.2">
      <c r="A80" s="150"/>
      <c r="B80" s="755" t="s">
        <v>101</v>
      </c>
      <c r="C80" s="755"/>
      <c r="D80" s="755"/>
      <c r="E80" s="755"/>
      <c r="F80" s="755"/>
      <c r="G80" s="755"/>
      <c r="H80" s="755"/>
      <c r="I80" s="755"/>
      <c r="J80" s="772"/>
      <c r="K80" s="150"/>
      <c r="L80" s="755" t="s">
        <v>621</v>
      </c>
      <c r="M80" s="755"/>
      <c r="N80" s="755"/>
      <c r="O80" s="755"/>
      <c r="P80" s="755"/>
      <c r="Q80" s="755"/>
      <c r="R80" s="755"/>
      <c r="S80" s="755"/>
      <c r="T80" s="755"/>
      <c r="U80" s="755"/>
      <c r="V80" s="772"/>
      <c r="W80" s="150"/>
      <c r="X80" s="755" t="s">
        <v>636</v>
      </c>
      <c r="Y80" s="755"/>
      <c r="Z80" s="755"/>
      <c r="AA80" s="755"/>
      <c r="AB80" s="755"/>
      <c r="AC80" s="755"/>
      <c r="AD80" s="755"/>
      <c r="AE80" s="755"/>
      <c r="AF80" s="772"/>
    </row>
    <row r="81" spans="1:32" ht="16.5" customHeight="1" x14ac:dyDescent="0.2">
      <c r="A81" s="150"/>
      <c r="B81" s="755" t="s">
        <v>623</v>
      </c>
      <c r="C81" s="755"/>
      <c r="D81" s="755"/>
      <c r="E81" s="755"/>
      <c r="F81" s="755"/>
      <c r="G81" s="755"/>
      <c r="H81" s="755"/>
      <c r="I81" s="755"/>
      <c r="J81" s="772"/>
      <c r="K81" s="150"/>
      <c r="L81" s="74" t="s">
        <v>633</v>
      </c>
      <c r="M81" s="74"/>
      <c r="N81" s="74"/>
      <c r="O81" s="74"/>
      <c r="P81" s="74"/>
      <c r="Q81" s="74"/>
      <c r="R81" s="74"/>
      <c r="S81" s="74"/>
      <c r="T81" s="74"/>
      <c r="U81" s="74"/>
      <c r="V81" s="257"/>
      <c r="W81" s="150"/>
      <c r="X81" s="349" t="s">
        <v>622</v>
      </c>
      <c r="Y81" s="349"/>
      <c r="Z81" s="349"/>
      <c r="AA81" s="349"/>
      <c r="AB81" s="349"/>
      <c r="AC81" s="349"/>
      <c r="AD81" s="349"/>
      <c r="AE81" s="349"/>
      <c r="AF81" s="350"/>
    </row>
    <row r="82" spans="1:32" ht="16.5" customHeight="1" x14ac:dyDescent="0.2">
      <c r="A82" s="150"/>
      <c r="B82" s="755" t="s">
        <v>626</v>
      </c>
      <c r="C82" s="755"/>
      <c r="D82" s="755"/>
      <c r="E82" s="755"/>
      <c r="F82" s="755"/>
      <c r="G82" s="755"/>
      <c r="H82" s="755"/>
      <c r="I82" s="755"/>
      <c r="J82" s="772"/>
      <c r="K82" s="150"/>
      <c r="L82" s="349" t="s">
        <v>624</v>
      </c>
      <c r="M82" s="349"/>
      <c r="N82" s="349"/>
      <c r="O82" s="349"/>
      <c r="P82" s="349"/>
      <c r="Q82" s="349"/>
      <c r="R82" s="349"/>
      <c r="S82" s="349"/>
      <c r="T82" s="349"/>
      <c r="U82" s="349"/>
      <c r="V82" s="350"/>
      <c r="W82" s="150"/>
      <c r="X82" s="349" t="s">
        <v>625</v>
      </c>
      <c r="Y82" s="349"/>
      <c r="Z82" s="349"/>
      <c r="AA82" s="349"/>
      <c r="AB82" s="349"/>
      <c r="AC82" s="349"/>
      <c r="AD82" s="349"/>
      <c r="AE82" s="349"/>
      <c r="AF82" s="350"/>
    </row>
    <row r="83" spans="1:32" ht="16.5" customHeight="1" x14ac:dyDescent="0.2">
      <c r="A83" s="150"/>
      <c r="B83" s="755" t="s">
        <v>628</v>
      </c>
      <c r="C83" s="755"/>
      <c r="D83" s="755"/>
      <c r="E83" s="755"/>
      <c r="F83" s="755"/>
      <c r="G83" s="755"/>
      <c r="H83" s="755"/>
      <c r="I83" s="755"/>
      <c r="J83" s="772"/>
      <c r="K83" s="150"/>
      <c r="L83" s="349" t="s">
        <v>627</v>
      </c>
      <c r="M83" s="349"/>
      <c r="N83" s="349"/>
      <c r="O83" s="349"/>
      <c r="P83" s="349"/>
      <c r="Q83" s="349"/>
      <c r="R83" s="349"/>
      <c r="S83" s="349"/>
      <c r="T83" s="349"/>
      <c r="U83" s="349"/>
      <c r="V83" s="350"/>
      <c r="W83" s="150"/>
      <c r="X83" s="349" t="s">
        <v>100</v>
      </c>
      <c r="Y83" s="349"/>
      <c r="Z83" s="349"/>
      <c r="AA83" s="349"/>
      <c r="AB83" s="349"/>
      <c r="AC83" s="349"/>
      <c r="AD83" s="349"/>
      <c r="AE83" s="349"/>
      <c r="AF83" s="350"/>
    </row>
    <row r="84" spans="1:32" ht="16.5" customHeight="1" x14ac:dyDescent="0.2">
      <c r="A84" s="150"/>
      <c r="B84" s="755" t="s">
        <v>629</v>
      </c>
      <c r="C84" s="755"/>
      <c r="D84" s="755"/>
      <c r="E84" s="755"/>
      <c r="F84" s="755"/>
      <c r="G84" s="755"/>
      <c r="H84" s="755"/>
      <c r="I84" s="755"/>
      <c r="J84" s="772"/>
      <c r="K84" s="150"/>
      <c r="L84" s="349" t="s">
        <v>634</v>
      </c>
      <c r="M84" s="349"/>
      <c r="N84" s="349"/>
      <c r="O84" s="349"/>
      <c r="P84" s="349"/>
      <c r="Q84" s="349"/>
      <c r="R84" s="349"/>
      <c r="S84" s="349"/>
      <c r="T84" s="349"/>
      <c r="U84" s="349"/>
      <c r="V84" s="350"/>
      <c r="W84" s="150"/>
      <c r="X84" s="349" t="s">
        <v>637</v>
      </c>
      <c r="Y84" s="349"/>
      <c r="Z84" s="349"/>
      <c r="AA84" s="349"/>
      <c r="AB84" s="349"/>
      <c r="AC84" s="349"/>
      <c r="AD84" s="349"/>
      <c r="AE84" s="349"/>
      <c r="AF84" s="350"/>
    </row>
    <row r="85" spans="1:32" ht="16.5" customHeight="1" x14ac:dyDescent="0.2">
      <c r="A85" s="150"/>
      <c r="B85" s="755" t="s">
        <v>630</v>
      </c>
      <c r="C85" s="755"/>
      <c r="D85" s="755"/>
      <c r="E85" s="755"/>
      <c r="F85" s="755"/>
      <c r="G85" s="755"/>
      <c r="H85" s="755"/>
      <c r="I85" s="755"/>
      <c r="J85" s="772"/>
      <c r="K85" s="150"/>
      <c r="L85" s="349" t="s">
        <v>635</v>
      </c>
      <c r="M85" s="349"/>
      <c r="N85" s="349"/>
      <c r="O85" s="349"/>
      <c r="P85" s="349"/>
      <c r="Q85" s="349"/>
      <c r="R85" s="349"/>
      <c r="S85" s="349"/>
      <c r="T85" s="349"/>
      <c r="U85" s="349"/>
      <c r="V85" s="350"/>
      <c r="W85" s="150"/>
      <c r="X85" s="755"/>
      <c r="Y85" s="755"/>
      <c r="Z85" s="755"/>
      <c r="AA85" s="755"/>
      <c r="AB85" s="755"/>
      <c r="AC85" s="755"/>
      <c r="AD85" s="755"/>
      <c r="AE85" s="755"/>
      <c r="AF85" s="772"/>
    </row>
    <row r="86" spans="1:32" ht="16.5" customHeight="1" x14ac:dyDescent="0.2">
      <c r="A86" s="150"/>
      <c r="B86" s="755" t="s">
        <v>632</v>
      </c>
      <c r="C86" s="755"/>
      <c r="D86" s="755"/>
      <c r="E86" s="755"/>
      <c r="F86" s="755"/>
      <c r="G86" s="755"/>
      <c r="H86" s="755"/>
      <c r="I86" s="755"/>
      <c r="J86" s="772"/>
      <c r="K86" s="150"/>
      <c r="L86" s="349" t="s">
        <v>631</v>
      </c>
      <c r="M86" s="349"/>
      <c r="N86" s="349"/>
      <c r="O86" s="349"/>
      <c r="P86" s="349"/>
      <c r="Q86" s="349"/>
      <c r="R86" s="349"/>
      <c r="S86" s="349"/>
      <c r="T86" s="349"/>
      <c r="U86" s="349"/>
      <c r="V86" s="350"/>
      <c r="W86" s="150"/>
      <c r="X86" s="755"/>
      <c r="Y86" s="755"/>
      <c r="Z86" s="755"/>
      <c r="AA86" s="755"/>
      <c r="AB86" s="755"/>
      <c r="AC86" s="755"/>
      <c r="AD86" s="755"/>
      <c r="AE86" s="755"/>
      <c r="AF86" s="772"/>
    </row>
    <row r="87" spans="1:32" ht="12.75" hidden="1" customHeight="1" x14ac:dyDescent="0.2"/>
  </sheetData>
  <dataConsolidate/>
  <customSheetViews>
    <customSheetView guid="{EEA7A97B-E2BF-43AD-B211-D284BEE221A1}" showGridLines="0" hiddenRows="1" showRuler="0" topLeftCell="A13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1"/>
      <headerFooter alignWithMargins="0">
        <oddFooter>&amp;LAnmeldeverfahren 2010 - 1</oddFooter>
      </headerFooter>
    </customSheetView>
    <customSheetView guid="{04F5F062-CD85-4BE7-B897-A8C5C601EF7B}" showPageBreaks="1" showGridLines="0" printArea="1" hiddenRows="1" showRuler="0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2"/>
      <headerFooter alignWithMargins="0">
        <oddFooter>&amp;LAnmeldeverfahren 2010 - 1</oddFooter>
      </headerFooter>
    </customSheetView>
  </customSheetViews>
  <mergeCells count="190">
    <mergeCell ref="A58:U58"/>
    <mergeCell ref="K8:U8"/>
    <mergeCell ref="R77:U77"/>
    <mergeCell ref="W77:X77"/>
    <mergeCell ref="H76:K76"/>
    <mergeCell ref="G66:J66"/>
    <mergeCell ref="AD57:AF57"/>
    <mergeCell ref="A59:AF59"/>
    <mergeCell ref="AD55:AF55"/>
    <mergeCell ref="AD54:AF54"/>
    <mergeCell ref="U54:AC54"/>
    <mergeCell ref="AD63:AF63"/>
    <mergeCell ref="M77:P77"/>
    <mergeCell ref="Q66:S66"/>
    <mergeCell ref="W66:Y66"/>
    <mergeCell ref="E68:I68"/>
    <mergeCell ref="E69:I69"/>
    <mergeCell ref="E70:I70"/>
    <mergeCell ref="E72:I72"/>
    <mergeCell ref="E71:I71"/>
    <mergeCell ref="K70:N70"/>
    <mergeCell ref="K72:N72"/>
    <mergeCell ref="K71:N71"/>
    <mergeCell ref="K68:N68"/>
    <mergeCell ref="P14:X14"/>
    <mergeCell ref="R76:U76"/>
    <mergeCell ref="X86:AF86"/>
    <mergeCell ref="B86:J86"/>
    <mergeCell ref="X85:AF85"/>
    <mergeCell ref="X80:AF80"/>
    <mergeCell ref="K78:V78"/>
    <mergeCell ref="B79:J79"/>
    <mergeCell ref="B83:J83"/>
    <mergeCell ref="B84:J84"/>
    <mergeCell ref="B85:J85"/>
    <mergeCell ref="B81:J81"/>
    <mergeCell ref="L80:V80"/>
    <mergeCell ref="W78:AF78"/>
    <mergeCell ref="B82:J82"/>
    <mergeCell ref="B80:J80"/>
    <mergeCell ref="A78:J78"/>
    <mergeCell ref="W76:X76"/>
    <mergeCell ref="L48:M48"/>
    <mergeCell ref="AD50:AF50"/>
    <mergeCell ref="AD52:AF52"/>
    <mergeCell ref="A57:G57"/>
    <mergeCell ref="A54:J54"/>
    <mergeCell ref="A52:J52"/>
    <mergeCell ref="Y55:AB55"/>
    <mergeCell ref="M76:P76"/>
    <mergeCell ref="K67:N67"/>
    <mergeCell ref="K73:N73"/>
    <mergeCell ref="A75:E76"/>
    <mergeCell ref="M75:P75"/>
    <mergeCell ref="R75:U75"/>
    <mergeCell ref="U53:AC53"/>
    <mergeCell ref="Q63:S63"/>
    <mergeCell ref="H62:AF62"/>
    <mergeCell ref="O56:AC56"/>
    <mergeCell ref="W63:Y63"/>
    <mergeCell ref="G63:J63"/>
    <mergeCell ref="A53:J53"/>
    <mergeCell ref="AD53:AF53"/>
    <mergeCell ref="U72:W72"/>
    <mergeCell ref="AD66:AF66"/>
    <mergeCell ref="P72:S72"/>
    <mergeCell ref="W11:Y11"/>
    <mergeCell ref="H11:S11"/>
    <mergeCell ref="N26:O26"/>
    <mergeCell ref="A26:I26"/>
    <mergeCell ref="P26:Q26"/>
    <mergeCell ref="W65:Y65"/>
    <mergeCell ref="V60:W60"/>
    <mergeCell ref="G64:J64"/>
    <mergeCell ref="Q64:S64"/>
    <mergeCell ref="G65:J65"/>
    <mergeCell ref="Q65:S65"/>
    <mergeCell ref="Q41:T41"/>
    <mergeCell ref="W64:Y64"/>
    <mergeCell ref="V57:AB57"/>
    <mergeCell ref="A33:U33"/>
    <mergeCell ref="A34:H34"/>
    <mergeCell ref="A35:AF35"/>
    <mergeCell ref="U52:AC52"/>
    <mergeCell ref="J48:K48"/>
    <mergeCell ref="AD49:AF49"/>
    <mergeCell ref="O49:Q49"/>
    <mergeCell ref="AD51:AF51"/>
    <mergeCell ref="N48:O48"/>
    <mergeCell ref="P48:Q48"/>
    <mergeCell ref="A24:C24"/>
    <mergeCell ref="H21:I21"/>
    <mergeCell ref="T21:V21"/>
    <mergeCell ref="X32:AA32"/>
    <mergeCell ref="U50:AC50"/>
    <mergeCell ref="V44:W44"/>
    <mergeCell ref="AD65:AF65"/>
    <mergeCell ref="H12:N12"/>
    <mergeCell ref="AD12:AE12"/>
    <mergeCell ref="AA46:AA47"/>
    <mergeCell ref="AD64:AF64"/>
    <mergeCell ref="AD56:AF56"/>
    <mergeCell ref="AC33:AF33"/>
    <mergeCell ref="R49:T49"/>
    <mergeCell ref="A39:AF40"/>
    <mergeCell ref="A42:AB42"/>
    <mergeCell ref="X46:Z47"/>
    <mergeCell ref="L46:W46"/>
    <mergeCell ref="L49:M49"/>
    <mergeCell ref="A51:J51"/>
    <mergeCell ref="AD46:AF47"/>
    <mergeCell ref="AB46:AC47"/>
    <mergeCell ref="A50:J50"/>
    <mergeCell ref="R48:S48"/>
    <mergeCell ref="U28:AF28"/>
    <mergeCell ref="V36:X36"/>
    <mergeCell ref="U27:AF27"/>
    <mergeCell ref="J34:AC34"/>
    <mergeCell ref="AC36:AF38"/>
    <mergeCell ref="L32:T32"/>
    <mergeCell ref="A27:L27"/>
    <mergeCell ref="U29:AF29"/>
    <mergeCell ref="Z36:AB36"/>
    <mergeCell ref="A1:AC1"/>
    <mergeCell ref="AE1:AF2"/>
    <mergeCell ref="A2:AC2"/>
    <mergeCell ref="AC4:AF4"/>
    <mergeCell ref="AE3:AF3"/>
    <mergeCell ref="X3:AA4"/>
    <mergeCell ref="U3:W4"/>
    <mergeCell ref="H6:AE6"/>
    <mergeCell ref="A18:D18"/>
    <mergeCell ref="U15:AF15"/>
    <mergeCell ref="E15:O15"/>
    <mergeCell ref="H9:AE9"/>
    <mergeCell ref="AC5:AF5"/>
    <mergeCell ref="H5:Z5"/>
    <mergeCell ref="U13:X13"/>
    <mergeCell ref="H7:M7"/>
    <mergeCell ref="R7:AE7"/>
    <mergeCell ref="E16:O16"/>
    <mergeCell ref="P10:S10"/>
    <mergeCell ref="AD11:AF11"/>
    <mergeCell ref="AD10:AE10"/>
    <mergeCell ref="H10:K10"/>
    <mergeCell ref="H13:N13"/>
    <mergeCell ref="U16:AE18"/>
    <mergeCell ref="H14:I14"/>
    <mergeCell ref="Y68:AA68"/>
    <mergeCell ref="Y69:AA69"/>
    <mergeCell ref="Y70:AA70"/>
    <mergeCell ref="U67:W67"/>
    <mergeCell ref="P67:S67"/>
    <mergeCell ref="P68:S68"/>
    <mergeCell ref="P69:S69"/>
    <mergeCell ref="P70:S70"/>
    <mergeCell ref="U68:W68"/>
    <mergeCell ref="U69:W69"/>
    <mergeCell ref="U70:W70"/>
    <mergeCell ref="X33:AB33"/>
    <mergeCell ref="A28:L28"/>
    <mergeCell ref="A30:AF30"/>
    <mergeCell ref="P36:S36"/>
    <mergeCell ref="N38:O38"/>
    <mergeCell ref="U51:AC51"/>
    <mergeCell ref="V48:W48"/>
    <mergeCell ref="AC41:AF41"/>
    <mergeCell ref="AC68:AE68"/>
    <mergeCell ref="AC69:AE69"/>
    <mergeCell ref="U26:AF26"/>
    <mergeCell ref="Y67:AA67"/>
    <mergeCell ref="K69:N69"/>
    <mergeCell ref="AC70:AE70"/>
    <mergeCell ref="AC72:AE72"/>
    <mergeCell ref="U71:W71"/>
    <mergeCell ref="Y71:AA71"/>
    <mergeCell ref="AC71:AE71"/>
    <mergeCell ref="P71:S71"/>
    <mergeCell ref="AC73:AE73"/>
    <mergeCell ref="E74:I74"/>
    <mergeCell ref="K74:N74"/>
    <mergeCell ref="P74:S74"/>
    <mergeCell ref="U74:W74"/>
    <mergeCell ref="Y74:AA74"/>
    <mergeCell ref="AC74:AE74"/>
    <mergeCell ref="P73:S73"/>
    <mergeCell ref="Y73:AA73"/>
    <mergeCell ref="E73:I73"/>
    <mergeCell ref="U73:W73"/>
    <mergeCell ref="Y72:AA72"/>
  </mergeCells>
  <phoneticPr fontId="0" type="noConversion"/>
  <conditionalFormatting sqref="H77:J77 K77:K78">
    <cfRule type="cellIs" dxfId="21" priority="15" stopIfTrue="1" operator="between">
      <formula>0.25</formula>
      <formula>0.1</formula>
    </cfRule>
    <cfRule type="cellIs" priority="16" stopIfTrue="1" operator="equal">
      <formula>0</formula>
    </cfRule>
  </conditionalFormatting>
  <conditionalFormatting sqref="X32:Z32">
    <cfRule type="cellIs" dxfId="20" priority="17" stopIfTrue="1" operator="equal">
      <formula>" "</formula>
    </cfRule>
  </conditionalFormatting>
  <conditionalFormatting sqref="L32:T32">
    <cfRule type="cellIs" dxfId="19" priority="18" stopIfTrue="1" operator="equal">
      <formula>" "</formula>
    </cfRule>
  </conditionalFormatting>
  <conditionalFormatting sqref="AC42:AF42">
    <cfRule type="cellIs" dxfId="18" priority="19" stopIfTrue="1" operator="equal">
      <formula>"Prio 0"</formula>
    </cfRule>
    <cfRule type="cellIs" dxfId="17" priority="20" stopIfTrue="1" operator="equal">
      <formula>"Prio 1"</formula>
    </cfRule>
  </conditionalFormatting>
  <conditionalFormatting sqref="I20:J20">
    <cfRule type="cellIs" dxfId="16" priority="21" stopIfTrue="1" operator="equal">
      <formula>"Nein"</formula>
    </cfRule>
  </conditionalFormatting>
  <conditionalFormatting sqref="T21:V21">
    <cfRule type="cellIs" dxfId="15" priority="23" stopIfTrue="1" operator="equal">
      <formula>"ja"</formula>
    </cfRule>
  </conditionalFormatting>
  <conditionalFormatting sqref="K20:AE20">
    <cfRule type="cellIs" dxfId="14" priority="24" stopIfTrue="1" operator="equal">
      <formula>""</formula>
    </cfRule>
  </conditionalFormatting>
  <conditionalFormatting sqref="M77:P77">
    <cfRule type="cellIs" priority="25" stopIfTrue="1" operator="equal">
      <formula>0</formula>
    </cfRule>
  </conditionalFormatting>
  <conditionalFormatting sqref="AF70:AF73">
    <cfRule type="cellIs" dxfId="13" priority="26" stopIfTrue="1" operator="between">
      <formula>0.505</formula>
      <formula>1</formula>
    </cfRule>
    <cfRule type="cellIs" dxfId="12" priority="27" stopIfTrue="1" operator="equal">
      <formula>0</formula>
    </cfRule>
  </conditionalFormatting>
  <conditionalFormatting sqref="AD10:AE10">
    <cfRule type="cellIs" dxfId="11" priority="28" stopIfTrue="1" operator="between">
      <formula>11</formula>
      <formula>1</formula>
    </cfRule>
    <cfRule type="cellIs" dxfId="10" priority="29" stopIfTrue="1" operator="equal">
      <formula>0</formula>
    </cfRule>
  </conditionalFormatting>
  <conditionalFormatting sqref="AF74">
    <cfRule type="cellIs" dxfId="9" priority="9" stopIfTrue="1" operator="between">
      <formula>0.505</formula>
      <formula>1</formula>
    </cfRule>
    <cfRule type="cellIs" dxfId="8" priority="10" stopIfTrue="1" operator="equal">
      <formula>0</formula>
    </cfRule>
  </conditionalFormatting>
  <conditionalFormatting sqref="AF69">
    <cfRule type="cellIs" dxfId="7" priority="7" stopIfTrue="1" operator="between">
      <formula>0.505</formula>
      <formula>1</formula>
    </cfRule>
    <cfRule type="cellIs" dxfId="6" priority="8" stopIfTrue="1" operator="equal">
      <formula>0</formula>
    </cfRule>
  </conditionalFormatting>
  <conditionalFormatting sqref="R77:U77">
    <cfRule type="cellIs" priority="6" stopIfTrue="1" operator="equal">
      <formula>0</formula>
    </cfRule>
  </conditionalFormatting>
  <conditionalFormatting sqref="K8:U8">
    <cfRule type="cellIs" dxfId="5" priority="3" operator="equal">
      <formula>"Übergangsregion!"</formula>
    </cfRule>
  </conditionalFormatting>
  <conditionalFormatting sqref="P14:X14">
    <cfRule type="containsText" dxfId="4" priority="1" operator="containsText" text="Übergangsregion">
      <formula>NOT(ISERROR(SEARCH("Übergangsregion",P14)))</formula>
    </cfRule>
  </conditionalFormatting>
  <dataValidations count="2">
    <dataValidation type="list" allowBlank="1" showInputMessage="1" showErrorMessage="1" sqref="AI32:AI33" xr:uid="{00000000-0002-0000-0200-000000000000}">
      <formula1>"fehl.kofi"</formula1>
    </dataValidation>
    <dataValidation type="list" allowBlank="1" showInputMessage="1" showErrorMessage="1" sqref="AH32" xr:uid="{00000000-0002-0000-0200-000001000000}">
      <formula1>fehl.kofi</formula1>
    </dataValidation>
  </dataValidations>
  <pageMargins left="0.51181102362204722" right="0.19685039370078741" top="0.19685039370078741" bottom="0.31496062992125984" header="0.27559055118110237" footer="0.11811023622047245"/>
  <pageSetup paperSize="9" orientation="portrait" r:id="rId3"/>
  <headerFooter alignWithMargins="0">
    <oddFooter>&amp;L&amp;F&amp;R&amp;P</oddFooter>
  </headerFooter>
  <rowBreaks count="1" manualBreakCount="1">
    <brk id="42" max="31" man="1"/>
  </rowBreaks>
  <cellWatches>
    <cellWatch r="W11"/>
  </cellWatches>
  <ignoredErrors>
    <ignoredError sqref="K8 P14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20</xdr:row>
                    <xdr:rowOff>161925</xdr:rowOff>
                  </from>
                  <to>
                    <xdr:col>8</xdr:col>
                    <xdr:colOff>285750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142875</xdr:rowOff>
                  </from>
                  <to>
                    <xdr:col>13</xdr:col>
                    <xdr:colOff>57150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Drop Down 4">
              <controlPr defaultSize="0" autoLine="0" autoPict="0">
                <anchor moveWithCells="1">
                  <from>
                    <xdr:col>18</xdr:col>
                    <xdr:colOff>0</xdr:colOff>
                    <xdr:row>22</xdr:row>
                    <xdr:rowOff>9525</xdr:rowOff>
                  </from>
                  <to>
                    <xdr:col>30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133350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142875</xdr:rowOff>
                  </from>
                  <to>
                    <xdr:col>9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1" name="Check Box 35">
              <controlPr defaultSize="0" autoFill="0" autoLine="0" autoPict="0">
                <anchor moveWithCells="1">
                  <from>
                    <xdr:col>11</xdr:col>
                    <xdr:colOff>76200</xdr:colOff>
                    <xdr:row>49</xdr:row>
                    <xdr:rowOff>76200</xdr:rowOff>
                  </from>
                  <to>
                    <xdr:col>13</xdr:col>
                    <xdr:colOff>19050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49</xdr:row>
                    <xdr:rowOff>85725</xdr:rowOff>
                  </from>
                  <to>
                    <xdr:col>16</xdr:col>
                    <xdr:colOff>19050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3" name="Check Box 38">
              <controlPr defaultSize="0" autoFill="0" autoLine="0" autoPict="0">
                <anchor moveWithCells="1">
                  <from>
                    <xdr:col>17</xdr:col>
                    <xdr:colOff>66675</xdr:colOff>
                    <xdr:row>49</xdr:row>
                    <xdr:rowOff>85725</xdr:rowOff>
                  </from>
                  <to>
                    <xdr:col>19</xdr:col>
                    <xdr:colOff>9525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4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50</xdr:row>
                    <xdr:rowOff>85725</xdr:rowOff>
                  </from>
                  <to>
                    <xdr:col>13</xdr:col>
                    <xdr:colOff>19050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5" name="Check Box 41">
              <controlPr defaultSize="0" autoFill="0" autoLine="0" autoPict="0">
                <anchor moveWithCells="1">
                  <from>
                    <xdr:col>14</xdr:col>
                    <xdr:colOff>76200</xdr:colOff>
                    <xdr:row>50</xdr:row>
                    <xdr:rowOff>85725</xdr:rowOff>
                  </from>
                  <to>
                    <xdr:col>16</xdr:col>
                    <xdr:colOff>19050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6" name="Check Box 42">
              <controlPr defaultSize="0" autoFill="0" autoLine="0" autoPict="0">
                <anchor moveWithCells="1">
                  <from>
                    <xdr:col>17</xdr:col>
                    <xdr:colOff>66675</xdr:colOff>
                    <xdr:row>50</xdr:row>
                    <xdr:rowOff>85725</xdr:rowOff>
                  </from>
                  <to>
                    <xdr:col>19</xdr:col>
                    <xdr:colOff>9525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7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51</xdr:row>
                    <xdr:rowOff>38100</xdr:rowOff>
                  </from>
                  <to>
                    <xdr:col>19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8" name="Check Box 44">
              <controlPr defaultSize="0" autoFill="0" autoLine="0" autoPict="0">
                <anchor moveWithCells="1">
                  <from>
                    <xdr:col>11</xdr:col>
                    <xdr:colOff>76200</xdr:colOff>
                    <xdr:row>51</xdr:row>
                    <xdr:rowOff>38100</xdr:rowOff>
                  </from>
                  <to>
                    <xdr:col>13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9" name="Check Box 46">
              <controlPr defaultSize="0" autoFill="0" autoLine="0" autoPict="0">
                <anchor moveWithCells="1">
                  <from>
                    <xdr:col>14</xdr:col>
                    <xdr:colOff>76200</xdr:colOff>
                    <xdr:row>51</xdr:row>
                    <xdr:rowOff>38100</xdr:rowOff>
                  </from>
                  <to>
                    <xdr:col>16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0" name="Check Box 49">
              <controlPr defaultSize="0" autoFill="0" autoLine="0" autoPict="0">
                <anchor moveWithCells="1">
                  <from>
                    <xdr:col>7</xdr:col>
                    <xdr:colOff>161925</xdr:colOff>
                    <xdr:row>24</xdr:row>
                    <xdr:rowOff>28575</xdr:rowOff>
                  </from>
                  <to>
                    <xdr:col>8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1" name="Check Box 50">
              <controlPr defaultSize="0" autoFill="0" autoLine="0" autoPict="0">
                <anchor moveWithCells="1">
                  <from>
                    <xdr:col>11</xdr:col>
                    <xdr:colOff>161925</xdr:colOff>
                    <xdr:row>24</xdr:row>
                    <xdr:rowOff>28575</xdr:rowOff>
                  </from>
                  <to>
                    <xdr:col>13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2" name="Drop Down 51">
              <controlPr defaultSize="0" autoLine="0" autoPict="0">
                <anchor moveWithCells="1">
                  <from>
                    <xdr:col>18</xdr:col>
                    <xdr:colOff>9525</xdr:colOff>
                    <xdr:row>24</xdr:row>
                    <xdr:rowOff>9525</xdr:rowOff>
                  </from>
                  <to>
                    <xdr:col>30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3" name="Check Box 55">
              <controlPr defaultSize="0" autoFill="0" autoLine="0" autoPict="0">
                <anchor moveWithCells="1">
                  <from>
                    <xdr:col>17</xdr:col>
                    <xdr:colOff>66675</xdr:colOff>
                    <xdr:row>52</xdr:row>
                    <xdr:rowOff>38100</xdr:rowOff>
                  </from>
                  <to>
                    <xdr:col>19</xdr:col>
                    <xdr:colOff>9525</xdr:colOff>
                    <xdr:row>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4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52</xdr:row>
                    <xdr:rowOff>47625</xdr:rowOff>
                  </from>
                  <to>
                    <xdr:col>13</xdr:col>
                    <xdr:colOff>19050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5" name="Check Box 58">
              <controlPr defaultSize="0" autoFill="0" autoLine="0" autoPict="0">
                <anchor moveWithCells="1">
                  <from>
                    <xdr:col>14</xdr:col>
                    <xdr:colOff>76200</xdr:colOff>
                    <xdr:row>52</xdr:row>
                    <xdr:rowOff>47625</xdr:rowOff>
                  </from>
                  <to>
                    <xdr:col>16</xdr:col>
                    <xdr:colOff>19050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26" name="Drop Down 96">
              <controlPr defaultSize="0" autoLine="0" autoPict="0">
                <anchor moveWithCells="1">
                  <from>
                    <xdr:col>18</xdr:col>
                    <xdr:colOff>0</xdr:colOff>
                    <xdr:row>23</xdr:row>
                    <xdr:rowOff>19050</xdr:rowOff>
                  </from>
                  <to>
                    <xdr:col>30</xdr:col>
                    <xdr:colOff>171450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27" name="Check Box 102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47625</xdr:rowOff>
                  </from>
                  <to>
                    <xdr:col>13</xdr:col>
                    <xdr:colOff>19050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28" name="Check Box 103">
              <controlPr defaultSize="0" autoFill="0" autoLine="0" autoPict="0">
                <anchor moveWithCells="1">
                  <from>
                    <xdr:col>14</xdr:col>
                    <xdr:colOff>76200</xdr:colOff>
                    <xdr:row>53</xdr:row>
                    <xdr:rowOff>47625</xdr:rowOff>
                  </from>
                  <to>
                    <xdr:col>16</xdr:col>
                    <xdr:colOff>19050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29" name="Check Box 104">
              <controlPr defaultSize="0" autoFill="0" autoLine="0" autoPict="0">
                <anchor moveWithCells="1">
                  <from>
                    <xdr:col>17</xdr:col>
                    <xdr:colOff>66675</xdr:colOff>
                    <xdr:row>53</xdr:row>
                    <xdr:rowOff>47625</xdr:rowOff>
                  </from>
                  <to>
                    <xdr:col>19</xdr:col>
                    <xdr:colOff>9525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30" name="Check Box 118">
              <controlPr defaultSize="0" autoFill="0" autoLine="0" autoPict="0">
                <anchor moveWithCells="1">
                  <from>
                    <xdr:col>11</xdr:col>
                    <xdr:colOff>76200</xdr:colOff>
                    <xdr:row>55</xdr:row>
                    <xdr:rowOff>0</xdr:rowOff>
                  </from>
                  <to>
                    <xdr:col>13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1" name="Check Box 122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38100</xdr:rowOff>
                  </from>
                  <to>
                    <xdr:col>14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2" name="Check Box 123">
              <controlPr defaultSize="0" autoFill="0" autoLine="0" autoPict="0">
                <anchor moveWithCells="1">
                  <from>
                    <xdr:col>15</xdr:col>
                    <xdr:colOff>104775</xdr:colOff>
                    <xdr:row>26</xdr:row>
                    <xdr:rowOff>28575</xdr:rowOff>
                  </from>
                  <to>
                    <xdr:col>17</xdr:col>
                    <xdr:colOff>47625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3" name="Check Box 124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38100</xdr:rowOff>
                  </from>
                  <to>
                    <xdr:col>19</xdr:col>
                    <xdr:colOff>123825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34" name="Check Box 125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28575</xdr:rowOff>
                  </from>
                  <to>
                    <xdr:col>14</xdr:col>
                    <xdr:colOff>152400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5" name="Check Box 126">
              <controlPr defaultSize="0" autoFill="0" autoLine="0" autoPict="0">
                <anchor moveWithCells="1">
                  <from>
                    <xdr:col>15</xdr:col>
                    <xdr:colOff>123825</xdr:colOff>
                    <xdr:row>27</xdr:row>
                    <xdr:rowOff>28575</xdr:rowOff>
                  </from>
                  <to>
                    <xdr:col>17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6" name="Check Box 127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28575</xdr:rowOff>
                  </from>
                  <to>
                    <xdr:col>19</xdr:col>
                    <xdr:colOff>133350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7" name="Option Button 131">
              <controlPr defaultSize="0" autoFill="0" autoLine="0" autoPict="0">
                <anchor moveWithCells="1">
                  <from>
                    <xdr:col>14</xdr:col>
                    <xdr:colOff>171450</xdr:colOff>
                    <xdr:row>35</xdr:row>
                    <xdr:rowOff>180975</xdr:rowOff>
                  </from>
                  <to>
                    <xdr:col>19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8" name="Option Button 132">
              <controlPr defaultSize="0" autoFill="0" autoLine="0" autoPict="0">
                <anchor moveWithCells="1">
                  <from>
                    <xdr:col>24</xdr:col>
                    <xdr:colOff>161925</xdr:colOff>
                    <xdr:row>36</xdr:row>
                    <xdr:rowOff>9525</xdr:rowOff>
                  </from>
                  <to>
                    <xdr:col>28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39" name="Check Box 139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47625</xdr:rowOff>
                  </from>
                  <to>
                    <xdr:col>14</xdr:col>
                    <xdr:colOff>142875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0" name="Check Box 140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28575</xdr:rowOff>
                  </from>
                  <to>
                    <xdr:col>17</xdr:col>
                    <xdr:colOff>76200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1" name="Check Box 141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28575</xdr:rowOff>
                  </from>
                  <to>
                    <xdr:col>19</xdr:col>
                    <xdr:colOff>142875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2" name="Option Button 144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219075</xdr:rowOff>
                  </from>
                  <to>
                    <xdr:col>12</xdr:col>
                    <xdr:colOff>171450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3" name="Option Button 146">
              <controlPr defaultSize="0" autoFill="0" autoLine="0" autoPict="0">
                <anchor moveWithCells="1">
                  <from>
                    <xdr:col>23</xdr:col>
                    <xdr:colOff>57150</xdr:colOff>
                    <xdr:row>40</xdr:row>
                    <xdr:rowOff>19050</xdr:rowOff>
                  </from>
                  <to>
                    <xdr:col>27</xdr:col>
                    <xdr:colOff>9525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4" name="Option Button 147">
              <controlPr defaultSize="0" autoFill="0" autoLine="0" autoPict="0">
                <anchor moveWithCells="1">
                  <from>
                    <xdr:col>20</xdr:col>
                    <xdr:colOff>104775</xdr:colOff>
                    <xdr:row>40</xdr:row>
                    <xdr:rowOff>19050</xdr:rowOff>
                  </from>
                  <to>
                    <xdr:col>22</xdr:col>
                    <xdr:colOff>295275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5" name="Group Box 148">
              <controlPr defaultSize="0" autoFill="0" autoPict="0">
                <anchor moveWithCells="1">
                  <from>
                    <xdr:col>0</xdr:col>
                    <xdr:colOff>0</xdr:colOff>
                    <xdr:row>59</xdr:row>
                    <xdr:rowOff>9525</xdr:rowOff>
                  </from>
                  <to>
                    <xdr:col>31</xdr:col>
                    <xdr:colOff>104775</xdr:colOff>
                    <xdr:row>59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6" name="Option Button 149">
              <controlPr defaultSize="0" autoFill="0" autoLine="0" autoPict="0">
                <anchor moveWithCells="1">
                  <from>
                    <xdr:col>27</xdr:col>
                    <xdr:colOff>133350</xdr:colOff>
                    <xdr:row>59</xdr:row>
                    <xdr:rowOff>95250</xdr:rowOff>
                  </from>
                  <to>
                    <xdr:col>30</xdr:col>
                    <xdr:colOff>152400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7" name="Option Button 150">
              <controlPr defaultSize="0" autoFill="0" autoLine="0" autoPict="0">
                <anchor moveWithCells="1">
                  <from>
                    <xdr:col>21</xdr:col>
                    <xdr:colOff>28575</xdr:colOff>
                    <xdr:row>59</xdr:row>
                    <xdr:rowOff>85725</xdr:rowOff>
                  </from>
                  <to>
                    <xdr:col>22</xdr:col>
                    <xdr:colOff>200025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8" name="Drop Down 151">
              <controlPr defaultSize="0" autoLine="0" autoPict="0">
                <anchor moveWithCells="1">
                  <from>
                    <xdr:col>6</xdr:col>
                    <xdr:colOff>95250</xdr:colOff>
                    <xdr:row>31</xdr:row>
                    <xdr:rowOff>0</xdr:rowOff>
                  </from>
                  <to>
                    <xdr:col>8</xdr:col>
                    <xdr:colOff>285750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9" name="Drop Down 152">
              <controlPr defaultSize="0" autoLine="0" autoPict="0">
                <anchor moveWithCells="1">
                  <from>
                    <xdr:col>6</xdr:col>
                    <xdr:colOff>57150</xdr:colOff>
                    <xdr:row>30</xdr:row>
                    <xdr:rowOff>57150</xdr:rowOff>
                  </from>
                  <to>
                    <xdr:col>18</xdr:col>
                    <xdr:colOff>142875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" name="Check Box 153">
              <controlPr defaultSize="0" autoFill="0" autoLine="0" autoPict="0">
                <anchor moveWithCells="1">
                  <from>
                    <xdr:col>27</xdr:col>
                    <xdr:colOff>57150</xdr:colOff>
                    <xdr:row>29</xdr:row>
                    <xdr:rowOff>47625</xdr:rowOff>
                  </from>
                  <to>
                    <xdr:col>29</xdr:col>
                    <xdr:colOff>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161925</xdr:rowOff>
                  </from>
                  <to>
                    <xdr:col>1</xdr:col>
                    <xdr:colOff>123825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2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80</xdr:row>
                    <xdr:rowOff>0</xdr:rowOff>
                  </from>
                  <to>
                    <xdr:col>1</xdr:col>
                    <xdr:colOff>123825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3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200025</xdr:rowOff>
                  </from>
                  <to>
                    <xdr:col>1</xdr:col>
                    <xdr:colOff>123825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4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0</xdr:rowOff>
                  </from>
                  <to>
                    <xdr:col>1</xdr:col>
                    <xdr:colOff>123825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5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80</xdr:row>
                    <xdr:rowOff>200025</xdr:rowOff>
                  </from>
                  <to>
                    <xdr:col>1</xdr:col>
                    <xdr:colOff>123825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6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0</xdr:rowOff>
                  </from>
                  <to>
                    <xdr:col>1</xdr:col>
                    <xdr:colOff>123825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7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85</xdr:row>
                    <xdr:rowOff>19050</xdr:rowOff>
                  </from>
                  <to>
                    <xdr:col>1</xdr:col>
                    <xdr:colOff>123825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8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0</xdr:rowOff>
                  </from>
                  <to>
                    <xdr:col>1</xdr:col>
                    <xdr:colOff>123825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9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190500</xdr:rowOff>
                  </from>
                  <to>
                    <xdr:col>11</xdr:col>
                    <xdr:colOff>95250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0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200025</xdr:rowOff>
                  </from>
                  <to>
                    <xdr:col>11</xdr:col>
                    <xdr:colOff>123825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61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200025</xdr:rowOff>
                  </from>
                  <to>
                    <xdr:col>11</xdr:col>
                    <xdr:colOff>123825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62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200025</xdr:rowOff>
                  </from>
                  <to>
                    <xdr:col>11</xdr:col>
                    <xdr:colOff>123825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63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200025</xdr:rowOff>
                  </from>
                  <to>
                    <xdr:col>11</xdr:col>
                    <xdr:colOff>123825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64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200025</xdr:rowOff>
                  </from>
                  <to>
                    <xdr:col>11</xdr:col>
                    <xdr:colOff>123825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5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200025</xdr:rowOff>
                  </from>
                  <to>
                    <xdr:col>11</xdr:col>
                    <xdr:colOff>123825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66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9525</xdr:rowOff>
                  </from>
                  <to>
                    <xdr:col>11</xdr:col>
                    <xdr:colOff>142875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67" name="Check Box 172">
              <controlPr defaultSize="0" autoFill="0" autoLine="0" autoPict="0">
                <anchor moveWithCells="1">
                  <from>
                    <xdr:col>22</xdr:col>
                    <xdr:colOff>123825</xdr:colOff>
                    <xdr:row>77</xdr:row>
                    <xdr:rowOff>161925</xdr:rowOff>
                  </from>
                  <to>
                    <xdr:col>23</xdr:col>
                    <xdr:colOff>104775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68" name="Check Box 173">
              <controlPr defaultSize="0" autoFill="0" autoLine="0" autoPict="0">
                <anchor moveWithCells="1">
                  <from>
                    <xdr:col>22</xdr:col>
                    <xdr:colOff>123825</xdr:colOff>
                    <xdr:row>79</xdr:row>
                    <xdr:rowOff>0</xdr:rowOff>
                  </from>
                  <to>
                    <xdr:col>23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69" name="Check Box 174">
              <controlPr defaultSize="0" autoFill="0" autoLine="0" autoPict="0">
                <anchor moveWithCells="1">
                  <from>
                    <xdr:col>22</xdr:col>
                    <xdr:colOff>123825</xdr:colOff>
                    <xdr:row>80</xdr:row>
                    <xdr:rowOff>0</xdr:rowOff>
                  </from>
                  <to>
                    <xdr:col>23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70" name="Check Box 175">
              <controlPr defaultSize="0" autoFill="0" autoLine="0" autoPict="0">
                <anchor moveWithCells="1">
                  <from>
                    <xdr:col>22</xdr:col>
                    <xdr:colOff>123825</xdr:colOff>
                    <xdr:row>80</xdr:row>
                    <xdr:rowOff>200025</xdr:rowOff>
                  </from>
                  <to>
                    <xdr:col>23</xdr:col>
                    <xdr:colOff>104775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71" name="Check Box 176">
              <controlPr defaultSize="0" autoFill="0" autoLine="0" autoPict="0">
                <anchor moveWithCells="1">
                  <from>
                    <xdr:col>22</xdr:col>
                    <xdr:colOff>123825</xdr:colOff>
                    <xdr:row>81</xdr:row>
                    <xdr:rowOff>200025</xdr:rowOff>
                  </from>
                  <to>
                    <xdr:col>23</xdr:col>
                    <xdr:colOff>104775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72" name="Check Box 177">
              <controlPr defaultSize="0" autoFill="0" autoLine="0" autoPict="0">
                <anchor moveWithCells="1">
                  <from>
                    <xdr:col>22</xdr:col>
                    <xdr:colOff>123825</xdr:colOff>
                    <xdr:row>82</xdr:row>
                    <xdr:rowOff>190500</xdr:rowOff>
                  </from>
                  <to>
                    <xdr:col>23</xdr:col>
                    <xdr:colOff>104775</xdr:colOff>
                    <xdr:row>83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73" name="Check Box 179">
              <controlPr defaultSize="0" autoFill="0" autoLine="0" autoPict="0">
                <anchor moveWithCells="1">
                  <from>
                    <xdr:col>22</xdr:col>
                    <xdr:colOff>123825</xdr:colOff>
                    <xdr:row>84</xdr:row>
                    <xdr:rowOff>200025</xdr:rowOff>
                  </from>
                  <to>
                    <xdr:col>23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74" name="Check Box 180">
              <controlPr defaultSize="0" autoFill="0" autoLine="0" autoPict="0">
                <anchor moveWithCells="1">
                  <from>
                    <xdr:col>22</xdr:col>
                    <xdr:colOff>123825</xdr:colOff>
                    <xdr:row>83</xdr:row>
                    <xdr:rowOff>200025</xdr:rowOff>
                  </from>
                  <to>
                    <xdr:col>23</xdr:col>
                    <xdr:colOff>104775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75" name="Option Button 214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28575</xdr:rowOff>
                  </from>
                  <to>
                    <xdr:col>24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76" name="Option Button 215">
              <controlPr defaultSize="0" autoFill="0" autoLine="0" autoPict="0">
                <anchor moveWithCells="1">
                  <from>
                    <xdr:col>22</xdr:col>
                    <xdr:colOff>209550</xdr:colOff>
                    <xdr:row>59</xdr:row>
                    <xdr:rowOff>85725</xdr:rowOff>
                  </from>
                  <to>
                    <xdr:col>27</xdr:col>
                    <xdr:colOff>95250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77" name="Check Box 218">
              <controlPr defaultSize="0" autoFill="0" autoLine="0" autoPict="0" altText="erfüllt">
                <anchor moveWithCells="1">
                  <from>
                    <xdr:col>22</xdr:col>
                    <xdr:colOff>19050</xdr:colOff>
                    <xdr:row>57</xdr:row>
                    <xdr:rowOff>95250</xdr:rowOff>
                  </from>
                  <to>
                    <xdr:col>31</xdr:col>
                    <xdr:colOff>47625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78" name="Check Box 21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95250</xdr:rowOff>
                  </from>
                  <to>
                    <xdr:col>31</xdr:col>
                    <xdr:colOff>76200</xdr:colOff>
                    <xdr:row>57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/>
  <dimension ref="A3:T40"/>
  <sheetViews>
    <sheetView topLeftCell="A13" workbookViewId="0">
      <selection activeCell="D31" sqref="D31"/>
    </sheetView>
  </sheetViews>
  <sheetFormatPr baseColWidth="10" defaultRowHeight="12.75" x14ac:dyDescent="0.2"/>
  <cols>
    <col min="2" max="2" width="14.85546875" customWidth="1"/>
    <col min="3" max="3" width="14.140625" customWidth="1"/>
    <col min="4" max="4" width="11.85546875" customWidth="1"/>
    <col min="5" max="5" width="14.5703125" customWidth="1"/>
    <col min="7" max="7" width="15.7109375" customWidth="1"/>
    <col min="8" max="8" width="8.140625" customWidth="1"/>
    <col min="9" max="9" width="18" customWidth="1"/>
    <col min="10" max="10" width="8.140625" customWidth="1"/>
  </cols>
  <sheetData>
    <row r="3" spans="1:20" x14ac:dyDescent="0.2">
      <c r="A3" s="7" t="s">
        <v>90</v>
      </c>
      <c r="B3" s="6"/>
      <c r="C3" s="7" t="s">
        <v>90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s="2" customFormat="1" ht="69.75" customHeight="1" x14ac:dyDescent="0.2">
      <c r="A4" s="267" t="s">
        <v>769</v>
      </c>
      <c r="B4" s="268"/>
      <c r="C4" s="267" t="s">
        <v>765</v>
      </c>
      <c r="D4" s="268"/>
      <c r="E4" s="267" t="s">
        <v>766</v>
      </c>
      <c r="F4" s="268"/>
      <c r="G4" s="267" t="s">
        <v>767</v>
      </c>
      <c r="H4" s="268"/>
      <c r="I4" s="270" t="s">
        <v>768</v>
      </c>
      <c r="J4" s="268"/>
      <c r="K4" s="269"/>
      <c r="L4" s="269" t="s">
        <v>188</v>
      </c>
      <c r="M4" s="268"/>
      <c r="N4" s="268" t="s">
        <v>199</v>
      </c>
      <c r="O4" s="268"/>
      <c r="P4" s="268" t="s">
        <v>205</v>
      </c>
      <c r="Q4" s="268"/>
      <c r="S4" s="268" t="s">
        <v>190</v>
      </c>
      <c r="T4" s="268"/>
    </row>
    <row r="5" spans="1:20" x14ac:dyDescent="0.2">
      <c r="A5" s="37" t="b">
        <v>0</v>
      </c>
      <c r="B5" s="36" t="str">
        <f>IF(A5=TRUE,"Quantitativ u.qualitativ (sehr) gut.",IF(A5=FALSE,""))</f>
        <v/>
      </c>
      <c r="C5" s="37" t="b">
        <v>0</v>
      </c>
      <c r="D5" s="36" t="str">
        <f>IF(C5=TRUE,"Detaillierte Beschreibung- Anforderung der Rahmenbedingungen voll erfüllt.",IF(C5=FALSE,""))</f>
        <v/>
      </c>
      <c r="E5" s="37" t="b">
        <v>0</v>
      </c>
      <c r="F5" s="36" t="str">
        <f>IF(E5=TRUE,"Detaillierte Beschreibung - Anforderung der Rahmenbedingung voll  erfüllt.",IF(E5=FALSE,""))</f>
        <v/>
      </c>
      <c r="G5" s="37" t="b">
        <v>0</v>
      </c>
      <c r="H5" s="36" t="str">
        <f>IF(G5=TRUE,"Aussagekräftig, passend zu  Rahmendbed..",IF(G5=FALSE,""))</f>
        <v/>
      </c>
      <c r="I5" s="6" t="b">
        <v>0</v>
      </c>
      <c r="J5" s="126" t="str">
        <f>IF(I5=TRUE,"Einbindung in reg. Strukturen vorhanden.",IF(I5=FALSE,""))</f>
        <v/>
      </c>
      <c r="K5" s="8"/>
      <c r="L5" s="6" t="b">
        <v>1</v>
      </c>
      <c r="M5" s="6" t="str">
        <f>IF(L5=TRUE,"Aufbau, Zeitplan, Ablauf schlüssig.",IF(L5=FALSE,""))</f>
        <v>Aufbau, Zeitplan, Ablauf schlüssig.</v>
      </c>
      <c r="N5" s="6" t="b">
        <v>1</v>
      </c>
      <c r="O5" s="6" t="str">
        <f>IF(N5=TRUE,"Einbindung in reg. Strukturen vorhanden.",IF(N5=FALSE,""))</f>
        <v>Einbindung in reg. Strukturen vorhanden.</v>
      </c>
      <c r="P5" s="6" t="b">
        <v>0</v>
      </c>
      <c r="Q5" s="6" t="str">
        <f>IF(P5=TRUE,"Angemessene Methoden u. Instrumente.",IF(P5=FALSE,""))</f>
        <v/>
      </c>
      <c r="S5" s="6" t="b">
        <v>0</v>
      </c>
      <c r="T5" s="6" t="str">
        <f>IF(S5=TRUE,"Hervorhebendes Merkmal vorhanden.",IF(S5=FALSE,""))</f>
        <v/>
      </c>
    </row>
    <row r="6" spans="1:20" x14ac:dyDescent="0.2">
      <c r="A6" s="37" t="b">
        <v>0</v>
      </c>
      <c r="B6" s="36" t="str">
        <f>IF(A6=TRUE,"Zu allgemein.",IF(A6=FALSE,""))</f>
        <v/>
      </c>
      <c r="C6" s="37" t="b">
        <v>0</v>
      </c>
      <c r="D6" s="36" t="str">
        <f>IF(C6=TRUE,"Oberflächlich-ungenaue Beschreibung.",IF(C6=FALSE,""))</f>
        <v/>
      </c>
      <c r="E6" s="37" t="b">
        <v>0</v>
      </c>
      <c r="F6" s="36" t="str">
        <f>IF(E6=TRUE,"Ungenaue Beschreibung, nur Ansätze.",IF(E6=FALSE,""))</f>
        <v/>
      </c>
      <c r="G6" s="37" t="b">
        <v>0</v>
      </c>
      <c r="H6" s="36" t="str">
        <f>IF(G6=TRUE,"Ungenaue Beschreibung",IF(G6=FALSE,""))</f>
        <v/>
      </c>
      <c r="I6" s="6" t="b">
        <v>0</v>
      </c>
      <c r="J6" s="126" t="str">
        <f>IF(I6=TRUE,"Allgemeine Aussagen, unkonkret.",IF(I6=FALSE,""))</f>
        <v/>
      </c>
      <c r="K6" s="8"/>
      <c r="L6" s="6" t="b">
        <v>0</v>
      </c>
      <c r="M6" s="6" t="str">
        <f>IF(L6=TRUE,"Unvollständige Darstellung.",IF(L6=FALSE,""))</f>
        <v/>
      </c>
      <c r="N6" s="6" t="b">
        <v>0</v>
      </c>
      <c r="O6" s="6" t="str">
        <f>IF(N6=TRUE,"Allgemeine Aussagen, unkonkret.",IF(N6=FALSE,""))</f>
        <v/>
      </c>
      <c r="P6" s="6" t="b">
        <v>0</v>
      </c>
      <c r="Q6" s="6" t="str">
        <f>IF(P6=TRUE,"Nennung von Methoden ohne Erläuterung.",IF(P6=FALSE,""))</f>
        <v/>
      </c>
      <c r="S6" s="6"/>
      <c r="T6" s="6"/>
    </row>
    <row r="7" spans="1:20" x14ac:dyDescent="0.2">
      <c r="A7" s="37" t="b">
        <v>0</v>
      </c>
      <c r="B7" s="36" t="str">
        <f>IF(A7=TRUE,"Erhebliche Defizite.",IF(A7=FALSE,""))</f>
        <v/>
      </c>
      <c r="C7" s="37" t="b">
        <v>0</v>
      </c>
      <c r="D7" s="36" t="str">
        <f>IF(C7=TRUE,"Erhebliche Defizite.",IF(C7=FALSE,""))</f>
        <v/>
      </c>
      <c r="E7" s="37" t="b">
        <v>0</v>
      </c>
      <c r="F7" s="36" t="str">
        <f>IF(E7=TRUE,"Erhebliche Defizite.",IF(E7=FALSE,""))</f>
        <v/>
      </c>
      <c r="G7" s="37" t="b">
        <v>0</v>
      </c>
      <c r="H7" s="36" t="str">
        <f>IF(G7=TRUE,"Erhebliche Defizite.",IF(G7=FALSE,""))</f>
        <v/>
      </c>
      <c r="I7" s="6" t="b">
        <v>0</v>
      </c>
      <c r="J7" s="126" t="str">
        <f>IF(I7=TRUE,"Erhebliche Defizite.",IF(I7=FALSE,""))</f>
        <v/>
      </c>
      <c r="K7" s="8"/>
      <c r="L7" s="6" t="b">
        <v>0</v>
      </c>
      <c r="M7" s="6" t="str">
        <f>IF(L7=TRUE,"Erhebliche Defizite.",IF(L7=FALSE,""))</f>
        <v/>
      </c>
      <c r="N7" s="6" t="b">
        <v>0</v>
      </c>
      <c r="O7" s="6" t="str">
        <f>IF(N7=TRUE,"Erhebliche Defizite.",IF(N7=FALSE,""))</f>
        <v/>
      </c>
      <c r="P7" s="6" t="b">
        <v>0</v>
      </c>
      <c r="Q7" s="6" t="str">
        <f>IF(P7=TRUE,"Erhebliche Defizite.",IF(P7=FALSE,""))</f>
        <v/>
      </c>
      <c r="S7" s="6"/>
      <c r="T7" s="6"/>
    </row>
    <row r="8" spans="1:20" x14ac:dyDescent="0.2">
      <c r="A8" s="6" t="s">
        <v>137</v>
      </c>
      <c r="B8" s="6" t="str">
        <f>CONCATENATE(B5,B6,B7)</f>
        <v/>
      </c>
      <c r="C8" s="6" t="s">
        <v>137</v>
      </c>
      <c r="D8" s="6" t="str">
        <f>CONCATENATE(D5,D6,D7)</f>
        <v/>
      </c>
      <c r="E8" s="6" t="s">
        <v>137</v>
      </c>
      <c r="F8" s="6" t="str">
        <f>CONCATENATE(F5,F6,F7)</f>
        <v/>
      </c>
      <c r="G8" s="6" t="s">
        <v>137</v>
      </c>
      <c r="H8" s="6" t="str">
        <f>CONCATENATE(H5,H6,H7)</f>
        <v/>
      </c>
      <c r="I8" s="6" t="s">
        <v>137</v>
      </c>
      <c r="J8" s="6" t="str">
        <f>CONCATENATE(J5,J6,J7)</f>
        <v/>
      </c>
      <c r="K8" s="6"/>
      <c r="L8" s="6" t="s">
        <v>137</v>
      </c>
      <c r="M8" s="6" t="str">
        <f>CONCATENATE(M5,M6,M7)</f>
        <v>Aufbau, Zeitplan, Ablauf schlüssig.</v>
      </c>
      <c r="N8" s="6" t="s">
        <v>137</v>
      </c>
      <c r="O8" s="6" t="str">
        <f>CONCATENATE(O5,O6,O7)</f>
        <v>Einbindung in reg. Strukturen vorhanden.</v>
      </c>
      <c r="P8" s="6" t="s">
        <v>137</v>
      </c>
      <c r="Q8" s="6" t="str">
        <f>CONCATENATE(Q5,Q6,Q7)</f>
        <v/>
      </c>
      <c r="S8" s="6" t="s">
        <v>137</v>
      </c>
      <c r="T8" s="6" t="str">
        <f>CONCATENATE(T5,T6,T7)</f>
        <v/>
      </c>
    </row>
    <row r="11" spans="1:20" x14ac:dyDescent="0.2">
      <c r="A11" t="s">
        <v>146</v>
      </c>
    </row>
    <row r="12" spans="1:20" s="2" customFormat="1" ht="81" customHeight="1" x14ac:dyDescent="0.2">
      <c r="A12" s="2" t="s">
        <v>769</v>
      </c>
      <c r="B12" s="2" t="s">
        <v>765</v>
      </c>
      <c r="C12" s="2" t="s">
        <v>766</v>
      </c>
      <c r="D12" s="2" t="s">
        <v>767</v>
      </c>
      <c r="E12" s="2" t="s">
        <v>768</v>
      </c>
      <c r="F12" s="2" t="s">
        <v>188</v>
      </c>
      <c r="G12" s="2" t="s">
        <v>199</v>
      </c>
      <c r="H12" s="2" t="s">
        <v>201</v>
      </c>
      <c r="J12" s="2" t="s">
        <v>200</v>
      </c>
    </row>
    <row r="13" spans="1:20" x14ac:dyDescent="0.2">
      <c r="A13">
        <f>IF(A5=TRUE,10,IF(A5=FALSE,0))</f>
        <v>0</v>
      </c>
      <c r="B13">
        <f>IF(C5=TRUE,20,IF(C5=FALSE,0))</f>
        <v>0</v>
      </c>
      <c r="C13">
        <f>IF(E5=TRUE,30,IF(E5=FALSE,0))</f>
        <v>0</v>
      </c>
      <c r="D13">
        <f>IF(G5=TRUE,30,IF(G5=FALSE,0))</f>
        <v>0</v>
      </c>
      <c r="E13">
        <f>IF(I5=TRUE,10,IF(I5=FALSE,0))</f>
        <v>0</v>
      </c>
      <c r="F13">
        <f>IF(L5=TRUE,10,IF(L5=FALSE,0))</f>
        <v>10</v>
      </c>
      <c r="G13">
        <f>IF(N5=TRUE,10,IF(N5=FALSE,0))</f>
        <v>10</v>
      </c>
      <c r="H13">
        <f>IF(P5=TRUE,10,IF(P5=FALSE,0))</f>
        <v>0</v>
      </c>
      <c r="J13">
        <f>IF(S5=TRUE,10,IF(S5=FALSE,0))</f>
        <v>0</v>
      </c>
    </row>
    <row r="14" spans="1:20" x14ac:dyDescent="0.2">
      <c r="A14">
        <f>IF(A6=TRUE,5,IF(A6=FALSE,0))</f>
        <v>0</v>
      </c>
      <c r="B14">
        <f>IF(C6=TRUE,10,IF(C6=FALSE,0))</f>
        <v>0</v>
      </c>
      <c r="C14">
        <f>IF(E6=TRUE,15,IF(E6=FALSE,0))</f>
        <v>0</v>
      </c>
      <c r="D14">
        <f>IF(G6=TRUE,15,IF(G6=FALSE,0))</f>
        <v>0</v>
      </c>
      <c r="E14">
        <f>IF(I6=TRUE,5,IF(I6=FALSE,0))</f>
        <v>0</v>
      </c>
      <c r="F14">
        <f>IF(L6=TRUE,5,IF(L6=FALSE,0))</f>
        <v>0</v>
      </c>
      <c r="G14">
        <f>IF(N6=TRUE,5,IF(N6=FALSE,0))</f>
        <v>0</v>
      </c>
      <c r="H14">
        <f>IF(P6=TRUE,5,IF(P6=FALSE,0))</f>
        <v>0</v>
      </c>
    </row>
    <row r="15" spans="1:20" x14ac:dyDescent="0.2">
      <c r="A15">
        <f>IF(A7=TRUE,0,IF(A7=FALSE,0))</f>
        <v>0</v>
      </c>
      <c r="B15">
        <f>IF(C7=TRUE,0,IF(C7=FALSE,0))</f>
        <v>0</v>
      </c>
      <c r="C15">
        <f>IF(E7=TRUE,0,IF(E7=FALSE,0))</f>
        <v>0</v>
      </c>
      <c r="D15">
        <f>IF(G7=TRUE,0,IF(G7=FALSE,0))</f>
        <v>0</v>
      </c>
      <c r="E15">
        <f>IF(I7=TRUE,0,IF(I7=FALSE,0))</f>
        <v>0</v>
      </c>
      <c r="F15">
        <f>IF(L7=TRUE,0,IF(L7=FALSE,0))</f>
        <v>0</v>
      </c>
      <c r="G15">
        <f>IF(N7=TRUE,0,IF(N7=FALSE,0))</f>
        <v>0</v>
      </c>
      <c r="H15">
        <f>IF(P7=TRUE,0,IF(P7=FALSE,0))</f>
        <v>0</v>
      </c>
    </row>
    <row r="16" spans="1:20" x14ac:dyDescent="0.2">
      <c r="A16">
        <f>SUM(A13:A15)</f>
        <v>0</v>
      </c>
      <c r="B16">
        <f t="shared" ref="B16:J16" si="0">SUM(B13:B15)</f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10</v>
      </c>
      <c r="G16">
        <f t="shared" si="0"/>
        <v>10</v>
      </c>
      <c r="H16">
        <f t="shared" si="0"/>
        <v>0</v>
      </c>
      <c r="J16">
        <f t="shared" si="0"/>
        <v>0</v>
      </c>
    </row>
    <row r="19" spans="3:4" x14ac:dyDescent="0.2">
      <c r="C19" t="s">
        <v>52</v>
      </c>
      <c r="D19">
        <f>Beginn</f>
        <v>0</v>
      </c>
    </row>
    <row r="20" spans="3:4" x14ac:dyDescent="0.2">
      <c r="C20" t="s">
        <v>53</v>
      </c>
      <c r="D20">
        <f>Ende</f>
        <v>0</v>
      </c>
    </row>
    <row r="21" spans="3:4" x14ac:dyDescent="0.2">
      <c r="D21">
        <f>DATEDIF(Beginn,Ende,"M")+1</f>
        <v>1</v>
      </c>
    </row>
    <row r="24" spans="3:4" x14ac:dyDescent="0.2">
      <c r="D24" t="s">
        <v>143</v>
      </c>
    </row>
    <row r="25" spans="3:4" x14ac:dyDescent="0.2">
      <c r="D25" t="s">
        <v>640</v>
      </c>
    </row>
    <row r="28" spans="3:4" x14ac:dyDescent="0.2">
      <c r="D28" s="9" t="s">
        <v>147</v>
      </c>
    </row>
    <row r="29" spans="3:4" x14ac:dyDescent="0.2">
      <c r="D29" s="6" t="s">
        <v>138</v>
      </c>
    </row>
    <row r="30" spans="3:4" x14ac:dyDescent="0.2">
      <c r="D30" s="6" t="s">
        <v>139</v>
      </c>
    </row>
    <row r="31" spans="3:4" x14ac:dyDescent="0.2">
      <c r="D31" s="253" t="s">
        <v>987</v>
      </c>
    </row>
    <row r="32" spans="3:4" x14ac:dyDescent="0.2">
      <c r="D32" s="6" t="s">
        <v>641</v>
      </c>
    </row>
    <row r="36" spans="4:4" x14ac:dyDescent="0.2">
      <c r="D36" s="6" t="s">
        <v>675</v>
      </c>
    </row>
    <row r="37" spans="4:4" x14ac:dyDescent="0.2">
      <c r="D37" s="6" t="s">
        <v>676</v>
      </c>
    </row>
    <row r="38" spans="4:4" x14ac:dyDescent="0.2">
      <c r="D38" s="6" t="s">
        <v>677</v>
      </c>
    </row>
    <row r="39" spans="4:4" x14ac:dyDescent="0.2">
      <c r="D39" s="6" t="s">
        <v>678</v>
      </c>
    </row>
    <row r="40" spans="4:4" x14ac:dyDescent="0.2">
      <c r="D40" s="6" t="s">
        <v>679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ET22"/>
  <sheetViews>
    <sheetView workbookViewId="0">
      <selection activeCell="A3" sqref="A3"/>
    </sheetView>
  </sheetViews>
  <sheetFormatPr baseColWidth="10" defaultRowHeight="12.75" x14ac:dyDescent="0.2"/>
  <cols>
    <col min="1" max="1" width="7.42578125" style="271" customWidth="1"/>
    <col min="2" max="2" width="14.28515625" customWidth="1"/>
    <col min="3" max="3" width="10.140625" customWidth="1"/>
    <col min="4" max="4" width="7.28515625" style="78" customWidth="1"/>
    <col min="5" max="5" width="6.7109375" style="78" customWidth="1"/>
    <col min="6" max="6" width="8.28515625" style="78" customWidth="1"/>
    <col min="7" max="7" width="9" style="78" customWidth="1"/>
    <col min="8" max="8" width="15.85546875" customWidth="1"/>
    <col min="9" max="9" width="15.85546875" style="343" customWidth="1"/>
    <col min="10" max="10" width="19.85546875" customWidth="1"/>
    <col min="11" max="11" width="19.85546875" style="78" customWidth="1"/>
    <col min="12" max="12" width="19.85546875" customWidth="1"/>
    <col min="13" max="13" width="11.42578125" style="62" customWidth="1"/>
    <col min="14" max="16" width="12.7109375" style="62" customWidth="1"/>
    <col min="17" max="17" width="14.28515625" customWidth="1"/>
    <col min="18" max="18" width="8" customWidth="1"/>
    <col min="19" max="19" width="15.28515625" customWidth="1"/>
    <col min="20" max="21" width="9.140625" customWidth="1"/>
    <col min="22" max="22" width="12" customWidth="1"/>
    <col min="23" max="23" width="12.5703125" customWidth="1"/>
    <col min="24" max="25" width="8" customWidth="1"/>
    <col min="26" max="31" width="17" customWidth="1"/>
    <col min="32" max="32" width="6" customWidth="1"/>
    <col min="33" max="33" width="18.140625" customWidth="1"/>
    <col min="34" max="34" width="18.140625" style="364" customWidth="1"/>
    <col min="35" max="35" width="10.28515625" customWidth="1"/>
    <col min="36" max="38" width="6.42578125" customWidth="1"/>
    <col min="39" max="39" width="7.85546875" customWidth="1"/>
    <col min="40" max="40" width="14.42578125" customWidth="1"/>
    <col min="41" max="42" width="10.85546875" customWidth="1"/>
    <col min="44" max="144" width="11.42578125" style="131" customWidth="1"/>
    <col min="146" max="146" width="11.5703125" style="361"/>
  </cols>
  <sheetData>
    <row r="1" spans="1:150" x14ac:dyDescent="0.2">
      <c r="B1" t="s">
        <v>555</v>
      </c>
      <c r="C1" s="217" t="s">
        <v>704</v>
      </c>
      <c r="J1" t="s">
        <v>270</v>
      </c>
      <c r="K1" s="237" t="s">
        <v>271</v>
      </c>
      <c r="L1" t="s">
        <v>272</v>
      </c>
      <c r="M1" s="62" t="s">
        <v>52</v>
      </c>
      <c r="N1" s="62" t="s">
        <v>53</v>
      </c>
      <c r="O1" s="279" t="s">
        <v>541</v>
      </c>
      <c r="P1" s="279" t="s">
        <v>845</v>
      </c>
      <c r="Q1" t="s">
        <v>273</v>
      </c>
      <c r="R1" t="s">
        <v>274</v>
      </c>
      <c r="S1" t="s">
        <v>275</v>
      </c>
      <c r="T1" t="s">
        <v>276</v>
      </c>
      <c r="U1" s="217" t="s">
        <v>811</v>
      </c>
      <c r="V1" s="217" t="s">
        <v>252</v>
      </c>
      <c r="W1" s="217" t="s">
        <v>253</v>
      </c>
      <c r="X1" t="s">
        <v>261</v>
      </c>
      <c r="Y1" t="s">
        <v>277</v>
      </c>
      <c r="Z1" t="s">
        <v>337</v>
      </c>
      <c r="AA1" t="s">
        <v>777</v>
      </c>
      <c r="AB1" t="s">
        <v>780</v>
      </c>
      <c r="AC1" t="s">
        <v>310</v>
      </c>
      <c r="AD1" t="s">
        <v>413</v>
      </c>
      <c r="AE1" t="s">
        <v>308</v>
      </c>
      <c r="AF1" t="s">
        <v>594</v>
      </c>
      <c r="AG1" t="s">
        <v>218</v>
      </c>
      <c r="AH1" s="217" t="s">
        <v>879</v>
      </c>
      <c r="AI1" t="s">
        <v>354</v>
      </c>
      <c r="AJ1" t="s">
        <v>355</v>
      </c>
      <c r="AK1" t="s">
        <v>278</v>
      </c>
      <c r="AL1" t="s">
        <v>279</v>
      </c>
      <c r="AM1" s="217" t="s">
        <v>954</v>
      </c>
      <c r="AN1" t="s">
        <v>374</v>
      </c>
      <c r="AO1" t="s">
        <v>175</v>
      </c>
      <c r="AP1" t="s">
        <v>357</v>
      </c>
      <c r="AQ1" t="s">
        <v>364</v>
      </c>
      <c r="AR1" s="131" t="s">
        <v>365</v>
      </c>
      <c r="AS1" s="131" t="s">
        <v>366</v>
      </c>
      <c r="AT1" s="131" t="s">
        <v>805</v>
      </c>
      <c r="AU1" s="131" t="s">
        <v>788</v>
      </c>
      <c r="AV1" s="131" t="s">
        <v>225</v>
      </c>
      <c r="AW1" s="131" t="s">
        <v>220</v>
      </c>
      <c r="AX1" s="131" t="s">
        <v>221</v>
      </c>
      <c r="AY1" s="131" t="s">
        <v>789</v>
      </c>
      <c r="AZ1" s="131" t="s">
        <v>790</v>
      </c>
      <c r="BA1" s="252" t="s">
        <v>899</v>
      </c>
      <c r="BB1" s="252" t="s">
        <v>900</v>
      </c>
      <c r="BC1" s="252" t="s">
        <v>901</v>
      </c>
      <c r="BD1" s="252" t="s">
        <v>902</v>
      </c>
      <c r="BE1" s="131" t="s">
        <v>791</v>
      </c>
      <c r="BF1" s="252" t="s">
        <v>904</v>
      </c>
      <c r="BG1" s="252" t="s">
        <v>905</v>
      </c>
      <c r="BH1" s="252" t="s">
        <v>906</v>
      </c>
      <c r="BI1" s="252" t="s">
        <v>907</v>
      </c>
      <c r="BJ1" s="252" t="s">
        <v>908</v>
      </c>
      <c r="BK1" s="252" t="s">
        <v>806</v>
      </c>
      <c r="BL1" s="252" t="s">
        <v>807</v>
      </c>
      <c r="BM1" s="252" t="s">
        <v>808</v>
      </c>
      <c r="BN1" s="252" t="s">
        <v>809</v>
      </c>
      <c r="BO1" s="252" t="s">
        <v>810</v>
      </c>
      <c r="BP1" s="252" t="s">
        <v>909</v>
      </c>
      <c r="BQ1" s="252" t="s">
        <v>911</v>
      </c>
      <c r="BR1" s="252" t="s">
        <v>912</v>
      </c>
      <c r="BS1" s="252" t="s">
        <v>913</v>
      </c>
      <c r="BT1" s="252" t="s">
        <v>914</v>
      </c>
      <c r="BU1" s="252" t="s">
        <v>823</v>
      </c>
      <c r="BV1" s="252" t="s">
        <v>824</v>
      </c>
      <c r="BW1" s="252" t="s">
        <v>825</v>
      </c>
      <c r="BX1" s="252" t="s">
        <v>826</v>
      </c>
      <c r="BY1" s="252" t="s">
        <v>827</v>
      </c>
      <c r="BZ1" s="252" t="s">
        <v>831</v>
      </c>
      <c r="CA1" s="252" t="s">
        <v>832</v>
      </c>
      <c r="CB1" s="252" t="s">
        <v>833</v>
      </c>
      <c r="CC1" s="252" t="s">
        <v>834</v>
      </c>
      <c r="CD1" s="252" t="s">
        <v>835</v>
      </c>
      <c r="CE1" s="252" t="s">
        <v>915</v>
      </c>
      <c r="CF1" s="252" t="s">
        <v>917</v>
      </c>
      <c r="CG1" s="252" t="s">
        <v>918</v>
      </c>
      <c r="CH1" s="252" t="s">
        <v>919</v>
      </c>
      <c r="CI1" s="252" t="s">
        <v>920</v>
      </c>
      <c r="CJ1" s="131" t="s">
        <v>737</v>
      </c>
      <c r="CK1" s="131" t="s">
        <v>527</v>
      </c>
      <c r="CL1" s="131" t="s">
        <v>529</v>
      </c>
      <c r="CM1" s="131" t="s">
        <v>530</v>
      </c>
      <c r="CN1" s="131" t="s">
        <v>797</v>
      </c>
      <c r="CO1" s="131" t="s">
        <v>731</v>
      </c>
      <c r="CP1" s="131" t="s">
        <v>732</v>
      </c>
      <c r="CQ1" s="131" t="s">
        <v>733</v>
      </c>
      <c r="CR1" s="131" t="s">
        <v>792</v>
      </c>
      <c r="CS1" s="131" t="s">
        <v>793</v>
      </c>
      <c r="CT1" s="252" t="s">
        <v>785</v>
      </c>
      <c r="CU1" s="252" t="s">
        <v>784</v>
      </c>
      <c r="CV1" s="252" t="s">
        <v>418</v>
      </c>
      <c r="CW1" s="252" t="s">
        <v>420</v>
      </c>
      <c r="CX1" s="252" t="s">
        <v>794</v>
      </c>
      <c r="CY1" s="131" t="s">
        <v>734</v>
      </c>
      <c r="CZ1" s="131" t="s">
        <v>735</v>
      </c>
      <c r="DA1" s="131" t="s">
        <v>736</v>
      </c>
      <c r="DB1" s="131" t="s">
        <v>795</v>
      </c>
      <c r="DC1" s="131" t="s">
        <v>796</v>
      </c>
      <c r="DD1" s="131" t="s">
        <v>9</v>
      </c>
      <c r="DE1" s="131" t="s">
        <v>4</v>
      </c>
      <c r="DF1" s="131" t="s">
        <v>6</v>
      </c>
      <c r="DG1" s="252" t="s">
        <v>885</v>
      </c>
      <c r="DH1" s="252" t="s">
        <v>921</v>
      </c>
      <c r="DI1" s="131" t="s">
        <v>432</v>
      </c>
      <c r="DJ1" s="131" t="s">
        <v>239</v>
      </c>
      <c r="DK1" s="131" t="s">
        <v>240</v>
      </c>
      <c r="DL1" s="131" t="s">
        <v>242</v>
      </c>
      <c r="DM1" s="131" t="s">
        <v>798</v>
      </c>
      <c r="DN1" s="131" t="s">
        <v>547</v>
      </c>
      <c r="DO1" s="131" t="s">
        <v>30</v>
      </c>
      <c r="DP1" s="131" t="s">
        <v>32</v>
      </c>
      <c r="DQ1" s="131" t="s">
        <v>33</v>
      </c>
      <c r="DR1" s="131" t="s">
        <v>800</v>
      </c>
      <c r="DS1" s="131" t="s">
        <v>447</v>
      </c>
      <c r="DT1" s="131" t="s">
        <v>744</v>
      </c>
      <c r="DU1" s="131" t="s">
        <v>745</v>
      </c>
      <c r="DV1" s="131" t="s">
        <v>803</v>
      </c>
      <c r="DW1" s="131" t="s">
        <v>804</v>
      </c>
      <c r="DX1" s="131" t="s">
        <v>741</v>
      </c>
      <c r="DY1" s="131" t="s">
        <v>742</v>
      </c>
      <c r="DZ1" s="131" t="s">
        <v>16</v>
      </c>
      <c r="EA1" s="131" t="s">
        <v>17</v>
      </c>
      <c r="EB1" s="131" t="s">
        <v>799</v>
      </c>
      <c r="EC1" s="131" t="s">
        <v>440</v>
      </c>
      <c r="ED1" s="131" t="s">
        <v>435</v>
      </c>
      <c r="EE1" s="131" t="s">
        <v>437</v>
      </c>
      <c r="EF1" s="131" t="s">
        <v>438</v>
      </c>
      <c r="EG1" s="131" t="s">
        <v>802</v>
      </c>
      <c r="EH1" s="131" t="s">
        <v>539</v>
      </c>
      <c r="EI1" s="131" t="s">
        <v>534</v>
      </c>
      <c r="EJ1" s="131" t="s">
        <v>536</v>
      </c>
      <c r="EK1" s="131" t="s">
        <v>537</v>
      </c>
      <c r="EL1" s="131" t="s">
        <v>801</v>
      </c>
      <c r="EM1" s="252" t="s">
        <v>447</v>
      </c>
      <c r="EN1" s="131" t="s">
        <v>370</v>
      </c>
      <c r="EO1" t="s">
        <v>472</v>
      </c>
      <c r="EQ1" s="252"/>
      <c r="ER1" s="362"/>
      <c r="ES1" s="362"/>
      <c r="ET1" s="362"/>
    </row>
    <row r="2" spans="1:150" s="4" customFormat="1" ht="60" customHeight="1" x14ac:dyDescent="0.2">
      <c r="A2" s="49" t="s">
        <v>376</v>
      </c>
      <c r="B2" s="55" t="s">
        <v>165</v>
      </c>
      <c r="C2" s="55" t="s">
        <v>703</v>
      </c>
      <c r="D2" s="238" t="s">
        <v>697</v>
      </c>
      <c r="E2" s="238" t="s">
        <v>696</v>
      </c>
      <c r="F2" s="238" t="s">
        <v>695</v>
      </c>
      <c r="G2" s="238" t="s">
        <v>694</v>
      </c>
      <c r="H2" s="55" t="s">
        <v>724</v>
      </c>
      <c r="I2" s="55" t="s">
        <v>866</v>
      </c>
      <c r="J2" s="46" t="s">
        <v>89</v>
      </c>
      <c r="K2" s="234" t="s">
        <v>216</v>
      </c>
      <c r="L2" s="46" t="s">
        <v>167</v>
      </c>
      <c r="M2" s="127" t="s">
        <v>52</v>
      </c>
      <c r="N2" s="127" t="s">
        <v>53</v>
      </c>
      <c r="O2" s="127" t="s">
        <v>787</v>
      </c>
      <c r="P2" s="127" t="s">
        <v>844</v>
      </c>
      <c r="Q2" s="46" t="s">
        <v>93</v>
      </c>
      <c r="R2" s="49" t="s">
        <v>39</v>
      </c>
      <c r="S2" s="50" t="s">
        <v>40</v>
      </c>
      <c r="T2" s="50" t="s">
        <v>48</v>
      </c>
      <c r="U2" s="50" t="s">
        <v>167</v>
      </c>
      <c r="V2" s="50" t="s">
        <v>46</v>
      </c>
      <c r="W2" s="50" t="s">
        <v>98</v>
      </c>
      <c r="X2" s="50" t="s">
        <v>49</v>
      </c>
      <c r="Y2" s="45" t="s">
        <v>41</v>
      </c>
      <c r="Z2" s="46" t="s">
        <v>50</v>
      </c>
      <c r="AA2" s="46" t="s">
        <v>48</v>
      </c>
      <c r="AB2" s="46" t="s">
        <v>778</v>
      </c>
      <c r="AC2" s="46" t="s">
        <v>779</v>
      </c>
      <c r="AD2" s="46" t="s">
        <v>49</v>
      </c>
      <c r="AE2" s="46" t="s">
        <v>50</v>
      </c>
      <c r="AF2" s="51" t="s">
        <v>965</v>
      </c>
      <c r="AG2" s="51" t="s">
        <v>75</v>
      </c>
      <c r="AH2" s="51" t="s">
        <v>966</v>
      </c>
      <c r="AI2" s="51" t="s">
        <v>642</v>
      </c>
      <c r="AJ2" s="52" t="s">
        <v>72</v>
      </c>
      <c r="AK2" s="43" t="s">
        <v>74</v>
      </c>
      <c r="AL2" s="43" t="s">
        <v>73</v>
      </c>
      <c r="AM2" s="43" t="s">
        <v>956</v>
      </c>
      <c r="AN2" s="51" t="s">
        <v>47</v>
      </c>
      <c r="AO2" s="53" t="s">
        <v>957</v>
      </c>
      <c r="AP2" s="53" t="s">
        <v>176</v>
      </c>
      <c r="AQ2" s="53" t="s">
        <v>153</v>
      </c>
      <c r="AR2" s="232">
        <v>2022</v>
      </c>
      <c r="AS2" s="232">
        <v>2023</v>
      </c>
      <c r="AT2" s="232">
        <v>2024</v>
      </c>
      <c r="AU2" s="232">
        <v>2025</v>
      </c>
      <c r="AV2" s="28" t="s">
        <v>169</v>
      </c>
      <c r="AW2" s="232">
        <v>2022</v>
      </c>
      <c r="AX2" s="232">
        <v>2023</v>
      </c>
      <c r="AY2" s="232">
        <v>2024</v>
      </c>
      <c r="AZ2" s="232">
        <v>2025</v>
      </c>
      <c r="BA2" s="28" t="s">
        <v>898</v>
      </c>
      <c r="BB2" s="232">
        <v>2022</v>
      </c>
      <c r="BC2" s="232">
        <v>2023</v>
      </c>
      <c r="BD2" s="232">
        <v>2024</v>
      </c>
      <c r="BE2" s="232">
        <v>2025</v>
      </c>
      <c r="BF2" s="232" t="s">
        <v>903</v>
      </c>
      <c r="BG2" s="232">
        <v>2022</v>
      </c>
      <c r="BH2" s="232">
        <v>2023</v>
      </c>
      <c r="BI2" s="232">
        <v>2024</v>
      </c>
      <c r="BJ2" s="232">
        <v>2025</v>
      </c>
      <c r="BK2" s="232" t="s">
        <v>958</v>
      </c>
      <c r="BL2" s="232">
        <v>2022</v>
      </c>
      <c r="BM2" s="232">
        <v>2023</v>
      </c>
      <c r="BN2" s="232">
        <v>2024</v>
      </c>
      <c r="BO2" s="232">
        <v>2025</v>
      </c>
      <c r="BP2" s="232" t="s">
        <v>910</v>
      </c>
      <c r="BQ2" s="232">
        <v>2022</v>
      </c>
      <c r="BR2" s="232">
        <v>2023</v>
      </c>
      <c r="BS2" s="232">
        <v>2024</v>
      </c>
      <c r="BT2" s="232">
        <v>2025</v>
      </c>
      <c r="BU2" s="232" t="s">
        <v>959</v>
      </c>
      <c r="BV2" s="232">
        <v>2022</v>
      </c>
      <c r="BW2" s="232">
        <v>2023</v>
      </c>
      <c r="BX2" s="232">
        <v>2024</v>
      </c>
      <c r="BY2" s="232">
        <v>2025</v>
      </c>
      <c r="BZ2" s="232" t="s">
        <v>821</v>
      </c>
      <c r="CA2" s="232">
        <v>2022</v>
      </c>
      <c r="CB2" s="232">
        <v>2023</v>
      </c>
      <c r="CC2" s="232">
        <v>2024</v>
      </c>
      <c r="CD2" s="232">
        <v>2025</v>
      </c>
      <c r="CE2" s="232" t="s">
        <v>916</v>
      </c>
      <c r="CF2" s="232">
        <v>2022</v>
      </c>
      <c r="CG2" s="232">
        <v>2023</v>
      </c>
      <c r="CH2" s="232">
        <v>2024</v>
      </c>
      <c r="CI2" s="232">
        <v>2025</v>
      </c>
      <c r="CJ2" s="232" t="s">
        <v>822</v>
      </c>
      <c r="CK2" s="232">
        <v>2022</v>
      </c>
      <c r="CL2" s="232">
        <v>2023</v>
      </c>
      <c r="CM2" s="232">
        <v>2024</v>
      </c>
      <c r="CN2" s="232">
        <v>2025</v>
      </c>
      <c r="CO2" s="232" t="s">
        <v>738</v>
      </c>
      <c r="CP2" s="232">
        <v>2022</v>
      </c>
      <c r="CQ2" s="232">
        <v>2023</v>
      </c>
      <c r="CR2" s="232">
        <v>2024</v>
      </c>
      <c r="CS2" s="232">
        <v>2025</v>
      </c>
      <c r="CT2" s="232" t="s">
        <v>786</v>
      </c>
      <c r="CU2" s="232">
        <v>2022</v>
      </c>
      <c r="CV2" s="232">
        <v>2023</v>
      </c>
      <c r="CW2" s="232">
        <v>2024</v>
      </c>
      <c r="CX2" s="232">
        <v>2025</v>
      </c>
      <c r="CY2" s="232" t="s">
        <v>739</v>
      </c>
      <c r="CZ2" s="232">
        <v>2022</v>
      </c>
      <c r="DA2" s="232">
        <v>2023</v>
      </c>
      <c r="DB2" s="232">
        <v>2024</v>
      </c>
      <c r="DC2" s="232">
        <v>2025</v>
      </c>
      <c r="DD2" s="232" t="s">
        <v>740</v>
      </c>
      <c r="DE2" s="232">
        <v>2022</v>
      </c>
      <c r="DF2" s="232">
        <v>2023</v>
      </c>
      <c r="DG2" s="232">
        <v>2024</v>
      </c>
      <c r="DH2" s="232">
        <v>2025</v>
      </c>
      <c r="DI2" s="232" t="s">
        <v>839</v>
      </c>
      <c r="DJ2" s="232">
        <v>2022</v>
      </c>
      <c r="DK2" s="232">
        <v>2023</v>
      </c>
      <c r="DL2" s="232">
        <v>2024</v>
      </c>
      <c r="DM2" s="232">
        <v>2025</v>
      </c>
      <c r="DN2" s="232" t="s">
        <v>838</v>
      </c>
      <c r="DO2" s="232">
        <v>2022</v>
      </c>
      <c r="DP2" s="232">
        <v>2023</v>
      </c>
      <c r="DQ2" s="232">
        <v>2024</v>
      </c>
      <c r="DR2" s="232">
        <v>2025</v>
      </c>
      <c r="DS2" s="232" t="s">
        <v>836</v>
      </c>
      <c r="DT2" s="232">
        <v>2022</v>
      </c>
      <c r="DU2" s="232">
        <v>2023</v>
      </c>
      <c r="DV2" s="232">
        <v>2024</v>
      </c>
      <c r="DW2" s="232">
        <v>2025</v>
      </c>
      <c r="DX2" s="232" t="s">
        <v>837</v>
      </c>
      <c r="DY2" s="232">
        <v>2022</v>
      </c>
      <c r="DZ2" s="232">
        <v>2023</v>
      </c>
      <c r="EA2" s="232">
        <v>2024</v>
      </c>
      <c r="EB2" s="232">
        <v>2025</v>
      </c>
      <c r="EC2" s="232" t="s">
        <v>840</v>
      </c>
      <c r="ED2" s="232">
        <v>2022</v>
      </c>
      <c r="EE2" s="232">
        <v>2023</v>
      </c>
      <c r="EF2" s="232">
        <v>2024</v>
      </c>
      <c r="EG2" s="232">
        <v>2025</v>
      </c>
      <c r="EH2" s="232" t="s">
        <v>743</v>
      </c>
      <c r="EI2" s="232">
        <v>2022</v>
      </c>
      <c r="EJ2" s="232">
        <v>2023</v>
      </c>
      <c r="EK2" s="232">
        <v>2024</v>
      </c>
      <c r="EL2" s="232">
        <v>2025</v>
      </c>
      <c r="EM2" s="232" t="s">
        <v>763</v>
      </c>
      <c r="EN2" s="132" t="s">
        <v>183</v>
      </c>
      <c r="EO2" s="46" t="s">
        <v>960</v>
      </c>
      <c r="EP2" s="46" t="s">
        <v>872</v>
      </c>
      <c r="EQ2" s="252"/>
      <c r="ER2" s="362"/>
      <c r="ES2" s="362"/>
      <c r="ET2" s="362"/>
    </row>
    <row r="3" spans="1:150" s="3" customFormat="1" ht="54" customHeight="1" x14ac:dyDescent="0.2">
      <c r="A3" s="272"/>
      <c r="B3" s="294"/>
      <c r="C3" s="294"/>
      <c r="D3" s="239"/>
      <c r="E3" s="239"/>
      <c r="F3" s="239"/>
      <c r="G3" s="243"/>
      <c r="H3" s="244"/>
      <c r="I3" s="244"/>
      <c r="J3" s="23">
        <f ca="1">INDIRECT(J$1)</f>
        <v>0</v>
      </c>
      <c r="K3" s="242">
        <f ca="1">INDIRECT(K$1)</f>
        <v>0</v>
      </c>
      <c r="L3" s="23">
        <f t="shared" ref="L3:AE3" ca="1" si="0">INDIRECT(L$1)</f>
        <v>0</v>
      </c>
      <c r="M3" s="128">
        <f t="shared" ca="1" si="0"/>
        <v>0</v>
      </c>
      <c r="N3" s="128">
        <f t="shared" ca="1" si="0"/>
        <v>0</v>
      </c>
      <c r="O3" s="235" t="str">
        <f t="shared" ca="1" si="0"/>
        <v>ed</v>
      </c>
      <c r="P3" s="235">
        <f t="shared" ca="1" si="0"/>
        <v>0</v>
      </c>
      <c r="Q3" s="23">
        <f t="shared" ca="1" si="0"/>
        <v>0</v>
      </c>
      <c r="R3" s="23">
        <f t="shared" ca="1" si="0"/>
        <v>0</v>
      </c>
      <c r="S3" s="23">
        <f t="shared" ca="1" si="0"/>
        <v>0</v>
      </c>
      <c r="T3" s="23">
        <f t="shared" ca="1" si="0"/>
        <v>0</v>
      </c>
      <c r="U3" s="23">
        <f t="shared" ca="1" si="0"/>
        <v>0</v>
      </c>
      <c r="V3" s="23">
        <f t="shared" ca="1" si="0"/>
        <v>0</v>
      </c>
      <c r="W3" s="23">
        <f t="shared" ca="1" si="0"/>
        <v>0</v>
      </c>
      <c r="X3" s="23">
        <f t="shared" ca="1" si="0"/>
        <v>0</v>
      </c>
      <c r="Y3" s="23">
        <f t="shared" ca="1" si="0"/>
        <v>0</v>
      </c>
      <c r="Z3" s="23">
        <f t="shared" ca="1" si="0"/>
        <v>0</v>
      </c>
      <c r="AA3" s="23">
        <f t="shared" ca="1" si="0"/>
        <v>0</v>
      </c>
      <c r="AB3" s="23">
        <f t="shared" ca="1" si="0"/>
        <v>0</v>
      </c>
      <c r="AC3" s="23">
        <f t="shared" ca="1" si="0"/>
        <v>0</v>
      </c>
      <c r="AD3" s="23">
        <f t="shared" ca="1" si="0"/>
        <v>0</v>
      </c>
      <c r="AE3" s="23">
        <f t="shared" ca="1" si="0"/>
        <v>0</v>
      </c>
      <c r="AF3" s="276">
        <f t="shared" ref="AF3:AP3" ca="1" si="1">INDIRECT(AF$1)</f>
        <v>0</v>
      </c>
      <c r="AG3" s="23" t="str">
        <f t="shared" ca="1" si="1"/>
        <v>Bitte auswählen</v>
      </c>
      <c r="AH3" s="23" t="str">
        <f t="shared" ca="1" si="1"/>
        <v xml:space="preserve"> </v>
      </c>
      <c r="AI3" s="276">
        <f t="shared" ca="1" si="1"/>
        <v>0</v>
      </c>
      <c r="AJ3" s="277">
        <f t="shared" ca="1" si="1"/>
        <v>0</v>
      </c>
      <c r="AK3" s="277">
        <f t="shared" ca="1" si="1"/>
        <v>0</v>
      </c>
      <c r="AL3" s="277">
        <f t="shared" ca="1" si="1"/>
        <v>0</v>
      </c>
      <c r="AM3" s="277">
        <f t="shared" ca="1" si="1"/>
        <v>0</v>
      </c>
      <c r="AN3" s="23" t="str">
        <f t="shared" ca="1" si="1"/>
        <v>Langzeitleistungsbeziehende (SGB II) / strukturell Benachteiligte im Leistungsbezug (SGB II)</v>
      </c>
      <c r="AO3" s="23" t="str">
        <f t="shared" ca="1" si="1"/>
        <v>h) Förderung der aktiven Inklusion…</v>
      </c>
      <c r="AP3" s="23" t="str">
        <f t="shared" ca="1" si="1"/>
        <v>Frauen aktiv in die Zukunft</v>
      </c>
      <c r="AQ3" s="275">
        <f t="shared" ref="AQ3:DZ3" ca="1" si="2">INDIRECT(AQ$1)</f>
        <v>0</v>
      </c>
      <c r="AR3" s="275">
        <f t="shared" ca="1" si="2"/>
        <v>0</v>
      </c>
      <c r="AS3" s="275">
        <f t="shared" ca="1" si="2"/>
        <v>0</v>
      </c>
      <c r="AT3" s="275"/>
      <c r="AU3" s="275"/>
      <c r="AV3" s="275">
        <f t="shared" ca="1" si="2"/>
        <v>0</v>
      </c>
      <c r="AW3" s="275">
        <f t="shared" ca="1" si="2"/>
        <v>0</v>
      </c>
      <c r="AX3" s="275">
        <f t="shared" ca="1" si="2"/>
        <v>0</v>
      </c>
      <c r="AY3" s="275"/>
      <c r="AZ3" s="275"/>
      <c r="BA3" s="275">
        <f t="shared" ca="1" si="2"/>
        <v>0</v>
      </c>
      <c r="BB3" s="275">
        <f t="shared" ca="1" si="2"/>
        <v>0</v>
      </c>
      <c r="BC3" s="275">
        <f t="shared" ca="1" si="2"/>
        <v>0</v>
      </c>
      <c r="BD3" s="275"/>
      <c r="BE3" s="275"/>
      <c r="BF3" s="275">
        <f t="shared" ca="1" si="2"/>
        <v>0</v>
      </c>
      <c r="BG3" s="275">
        <f t="shared" ca="1" si="2"/>
        <v>0</v>
      </c>
      <c r="BH3" s="275">
        <f t="shared" ca="1" si="2"/>
        <v>0</v>
      </c>
      <c r="BI3" s="275"/>
      <c r="BJ3" s="275"/>
      <c r="BK3" s="275">
        <f t="shared" ca="1" si="2"/>
        <v>0</v>
      </c>
      <c r="BL3" s="275">
        <f t="shared" ca="1" si="2"/>
        <v>0</v>
      </c>
      <c r="BM3" s="275">
        <f t="shared" ca="1" si="2"/>
        <v>0</v>
      </c>
      <c r="BN3" s="275"/>
      <c r="BO3" s="275"/>
      <c r="BP3" s="275">
        <f t="shared" ca="1" si="2"/>
        <v>0</v>
      </c>
      <c r="BQ3" s="275">
        <f t="shared" ca="1" si="2"/>
        <v>0</v>
      </c>
      <c r="BR3" s="275">
        <f t="shared" ca="1" si="2"/>
        <v>0</v>
      </c>
      <c r="BS3" s="275"/>
      <c r="BT3" s="275"/>
      <c r="BU3" s="275">
        <f t="shared" ca="1" si="2"/>
        <v>0</v>
      </c>
      <c r="BV3" s="275">
        <f t="shared" ca="1" si="2"/>
        <v>0</v>
      </c>
      <c r="BW3" s="275">
        <f t="shared" ca="1" si="2"/>
        <v>0</v>
      </c>
      <c r="BX3" s="275"/>
      <c r="BY3" s="275"/>
      <c r="BZ3" s="275">
        <f t="shared" ca="1" si="2"/>
        <v>0</v>
      </c>
      <c r="CA3" s="275">
        <f t="shared" ca="1" si="2"/>
        <v>0</v>
      </c>
      <c r="CB3" s="275">
        <f t="shared" ca="1" si="2"/>
        <v>0</v>
      </c>
      <c r="CC3" s="275"/>
      <c r="CD3" s="275"/>
      <c r="CE3" s="275">
        <f t="shared" ca="1" si="2"/>
        <v>0</v>
      </c>
      <c r="CF3" s="275">
        <f t="shared" ca="1" si="2"/>
        <v>0</v>
      </c>
      <c r="CG3" s="275">
        <f t="shared" ca="1" si="2"/>
        <v>0</v>
      </c>
      <c r="CH3" s="275"/>
      <c r="CI3" s="275"/>
      <c r="CJ3" s="275">
        <f t="shared" ref="CJ3:CQ3" ca="1" si="3">INDIRECT(CJ$1)</f>
        <v>0</v>
      </c>
      <c r="CK3" s="275">
        <f t="shared" ca="1" si="3"/>
        <v>0</v>
      </c>
      <c r="CL3" s="275">
        <f t="shared" ca="1" si="3"/>
        <v>0</v>
      </c>
      <c r="CM3" s="275"/>
      <c r="CN3" s="275"/>
      <c r="CO3" s="275">
        <f t="shared" ca="1" si="3"/>
        <v>0</v>
      </c>
      <c r="CP3" s="275">
        <f t="shared" ca="1" si="3"/>
        <v>0</v>
      </c>
      <c r="CQ3" s="275">
        <f t="shared" ca="1" si="3"/>
        <v>0</v>
      </c>
      <c r="CR3" s="275"/>
      <c r="CS3" s="275"/>
      <c r="CT3" s="275">
        <f t="shared" ca="1" si="2"/>
        <v>0</v>
      </c>
      <c r="CU3" s="275">
        <f t="shared" ca="1" si="2"/>
        <v>0</v>
      </c>
      <c r="CV3" s="275">
        <f t="shared" ca="1" si="2"/>
        <v>0</v>
      </c>
      <c r="CW3" s="275"/>
      <c r="CX3" s="275"/>
      <c r="CY3" s="275">
        <f t="shared" ca="1" si="2"/>
        <v>0</v>
      </c>
      <c r="CZ3" s="275">
        <f t="shared" ca="1" si="2"/>
        <v>0</v>
      </c>
      <c r="DA3" s="275">
        <f t="shared" ca="1" si="2"/>
        <v>0</v>
      </c>
      <c r="DB3" s="275"/>
      <c r="DC3" s="275"/>
      <c r="DD3" s="275">
        <f t="shared" ca="1" si="2"/>
        <v>0</v>
      </c>
      <c r="DE3" s="275">
        <f t="shared" ca="1" si="2"/>
        <v>0</v>
      </c>
      <c r="DF3" s="275">
        <f t="shared" ca="1" si="2"/>
        <v>0</v>
      </c>
      <c r="DG3" s="275"/>
      <c r="DH3" s="275"/>
      <c r="DI3" s="275">
        <f t="shared" ca="1" si="2"/>
        <v>0</v>
      </c>
      <c r="DJ3" s="275">
        <f t="shared" ca="1" si="2"/>
        <v>0</v>
      </c>
      <c r="DK3" s="275">
        <f t="shared" ca="1" si="2"/>
        <v>0</v>
      </c>
      <c r="DL3" s="275"/>
      <c r="DM3" s="275"/>
      <c r="DN3" s="275">
        <f t="shared" ref="DN3:DU3" ca="1" si="4">INDIRECT(DN$1)</f>
        <v>0</v>
      </c>
      <c r="DO3" s="275">
        <f t="shared" ca="1" si="4"/>
        <v>0</v>
      </c>
      <c r="DP3" s="275">
        <f t="shared" ca="1" si="4"/>
        <v>0</v>
      </c>
      <c r="DQ3" s="275"/>
      <c r="DR3" s="275"/>
      <c r="DS3" s="275">
        <f t="shared" ca="1" si="4"/>
        <v>0</v>
      </c>
      <c r="DT3" s="275">
        <f t="shared" ca="1" si="4"/>
        <v>0</v>
      </c>
      <c r="DU3" s="275">
        <f t="shared" ca="1" si="4"/>
        <v>0</v>
      </c>
      <c r="DV3" s="275"/>
      <c r="DW3" s="275"/>
      <c r="DX3" s="275">
        <f t="shared" ca="1" si="2"/>
        <v>0</v>
      </c>
      <c r="DY3" s="275">
        <f t="shared" ca="1" si="2"/>
        <v>0</v>
      </c>
      <c r="DZ3" s="275">
        <f t="shared" ca="1" si="2"/>
        <v>0</v>
      </c>
      <c r="EA3" s="275"/>
      <c r="EB3" s="275"/>
      <c r="EC3" s="275">
        <f t="shared" ref="EC3:EO3" ca="1" si="5">INDIRECT(EC$1)</f>
        <v>0</v>
      </c>
      <c r="ED3" s="275">
        <f t="shared" ca="1" si="5"/>
        <v>0</v>
      </c>
      <c r="EE3" s="275">
        <f t="shared" ca="1" si="5"/>
        <v>0</v>
      </c>
      <c r="EF3" s="275"/>
      <c r="EG3" s="275"/>
      <c r="EH3" s="275">
        <f ca="1">INDIRECT(EH$1)</f>
        <v>0</v>
      </c>
      <c r="EI3" s="275">
        <f ca="1">INDIRECT(EI$1)</f>
        <v>0</v>
      </c>
      <c r="EJ3" s="275">
        <f ca="1">INDIRECT(EJ$1)</f>
        <v>0</v>
      </c>
      <c r="EK3" s="275"/>
      <c r="EL3" s="275"/>
      <c r="EM3" s="275">
        <f t="shared" ca="1" si="5"/>
        <v>0</v>
      </c>
      <c r="EN3" s="275">
        <f t="shared" ca="1" si="5"/>
        <v>0</v>
      </c>
      <c r="EO3" s="381" t="str">
        <f t="shared" ca="1" si="5"/>
        <v/>
      </c>
      <c r="EP3" s="275"/>
      <c r="EQ3" s="275"/>
      <c r="ER3" s="275"/>
      <c r="ES3" s="275"/>
      <c r="ET3" s="275"/>
    </row>
    <row r="4" spans="1:150" s="3" customFormat="1" x14ac:dyDescent="0.2">
      <c r="A4" s="273"/>
      <c r="D4" s="240"/>
      <c r="E4" s="240"/>
      <c r="F4" s="240"/>
      <c r="G4" s="240"/>
      <c r="J4" s="23"/>
      <c r="K4" s="235"/>
      <c r="L4" s="23"/>
      <c r="M4" s="129"/>
      <c r="N4" s="129"/>
      <c r="O4" s="129"/>
      <c r="P4" s="129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</row>
    <row r="5" spans="1:150" x14ac:dyDescent="0.2">
      <c r="L5" s="23"/>
    </row>
    <row r="6" spans="1:150" s="1" customFormat="1" ht="15" x14ac:dyDescent="0.2">
      <c r="A6" s="274"/>
      <c r="D6" s="236"/>
      <c r="E6" s="236"/>
      <c r="F6" s="236"/>
      <c r="G6" s="236"/>
      <c r="K6" s="236"/>
      <c r="M6" s="130"/>
      <c r="N6" s="130"/>
      <c r="O6" s="130"/>
      <c r="P6" s="130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</row>
    <row r="8" spans="1:150" x14ac:dyDescent="0.2">
      <c r="K8" s="241"/>
    </row>
    <row r="9" spans="1:150" x14ac:dyDescent="0.2">
      <c r="K9" s="241"/>
    </row>
    <row r="10" spans="1:150" x14ac:dyDescent="0.2">
      <c r="K10" s="241"/>
    </row>
    <row r="11" spans="1:150" x14ac:dyDescent="0.2">
      <c r="K11" s="241"/>
    </row>
    <row r="12" spans="1:150" x14ac:dyDescent="0.2">
      <c r="K12" s="241"/>
    </row>
    <row r="13" spans="1:150" x14ac:dyDescent="0.2">
      <c r="K13" s="241"/>
    </row>
    <row r="14" spans="1:150" x14ac:dyDescent="0.2">
      <c r="K14" s="241"/>
    </row>
    <row r="15" spans="1:150" x14ac:dyDescent="0.2">
      <c r="K15" s="241"/>
    </row>
    <row r="16" spans="1:150" x14ac:dyDescent="0.2">
      <c r="K16" s="241"/>
    </row>
    <row r="17" spans="11:11" x14ac:dyDescent="0.2">
      <c r="K17" s="241"/>
    </row>
    <row r="18" spans="11:11" x14ac:dyDescent="0.2">
      <c r="K18" s="241"/>
    </row>
    <row r="19" spans="11:11" x14ac:dyDescent="0.2">
      <c r="K19" s="241"/>
    </row>
    <row r="20" spans="11:11" x14ac:dyDescent="0.2">
      <c r="K20" s="241"/>
    </row>
    <row r="21" spans="11:11" x14ac:dyDescent="0.2">
      <c r="K21" s="241"/>
    </row>
    <row r="22" spans="11:11" x14ac:dyDescent="0.2">
      <c r="K22" s="241"/>
    </row>
  </sheetData>
  <customSheetViews>
    <customSheetView guid="{EEA7A97B-E2BF-43AD-B211-D284BEE221A1}" showRuler="0" topLeftCell="M1">
      <selection activeCell="Z1" sqref="Z1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04F5F062-CD85-4BE7-B897-A8C5C601EF7B}" showRuler="0">
      <selection activeCell="BG3" sqref="BG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F37"/>
  <sheetViews>
    <sheetView workbookViewId="0">
      <selection activeCell="C3" sqref="C3"/>
    </sheetView>
  </sheetViews>
  <sheetFormatPr baseColWidth="10" defaultRowHeight="12.75" x14ac:dyDescent="0.2"/>
  <cols>
    <col min="1" max="1" width="24.5703125" customWidth="1"/>
    <col min="2" max="2" width="13.7109375" customWidth="1"/>
    <col min="4" max="4" width="38.5703125" style="2" customWidth="1"/>
    <col min="5" max="5" width="10.85546875" customWidth="1"/>
  </cols>
  <sheetData>
    <row r="1" spans="1:6" s="4" customFormat="1" x14ac:dyDescent="0.2">
      <c r="B1" s="4" t="s">
        <v>290</v>
      </c>
      <c r="C1" s="4" t="s">
        <v>291</v>
      </c>
      <c r="D1" s="46" t="s">
        <v>292</v>
      </c>
    </row>
    <row r="2" spans="1:6" x14ac:dyDescent="0.2">
      <c r="A2" t="s">
        <v>262</v>
      </c>
      <c r="B2" t="s">
        <v>352</v>
      </c>
      <c r="C2">
        <v>0</v>
      </c>
      <c r="D2" s="227" t="str">
        <f>IF(Akauswahl=1,"ja",IF(Akauswahl=2,"nein", " "))</f>
        <v xml:space="preserve"> </v>
      </c>
    </row>
    <row r="3" spans="1:6" x14ac:dyDescent="0.2">
      <c r="A3" t="s">
        <v>267</v>
      </c>
      <c r="B3" s="217" t="s">
        <v>352</v>
      </c>
      <c r="C3">
        <v>1</v>
      </c>
      <c r="D3" s="227" t="str">
        <f>IF(edwdAuswahl=1, "ed", IF(edwdAuswahl=2,"wd", " "))</f>
        <v>ed</v>
      </c>
    </row>
    <row r="4" spans="1:6" x14ac:dyDescent="0.2">
      <c r="A4" t="s">
        <v>377</v>
      </c>
      <c r="B4" t="s">
        <v>352</v>
      </c>
      <c r="C4">
        <v>0</v>
      </c>
      <c r="D4" s="227" t="str">
        <f>IF(TNrlpauswahl=1, "ja",IF(TNrlpauswahl=2,"nein", " "))</f>
        <v xml:space="preserve"> </v>
      </c>
    </row>
    <row r="5" spans="1:6" x14ac:dyDescent="0.2">
      <c r="A5" t="s">
        <v>293</v>
      </c>
      <c r="B5" t="s">
        <v>353</v>
      </c>
      <c r="C5">
        <v>1</v>
      </c>
      <c r="D5" s="227" t="str">
        <f ca="1">INDEX(INDIRECT($A5),$C5,1)</f>
        <v>Bitte auswählen</v>
      </c>
      <c r="E5" s="79">
        <f ca="1">INDEX(INDIRECT($A5),$C5,2)</f>
        <v>0</v>
      </c>
    </row>
    <row r="6" spans="1:6" x14ac:dyDescent="0.2">
      <c r="A6" t="s">
        <v>294</v>
      </c>
      <c r="B6" t="s">
        <v>353</v>
      </c>
      <c r="C6">
        <v>2</v>
      </c>
      <c r="D6" s="2">
        <f ca="1">INDEX(INDIRECT(A6),C6)</f>
        <v>0</v>
      </c>
      <c r="E6" t="str">
        <f>IF(Pachseauswahl=2,"A",IF(Pachseauswahl=3,"B",IF(Pachseauswahl=4,"C"," ")))</f>
        <v>A</v>
      </c>
    </row>
    <row r="7" spans="1:6" x14ac:dyDescent="0.2">
      <c r="A7" t="s">
        <v>295</v>
      </c>
      <c r="B7" t="s">
        <v>353</v>
      </c>
      <c r="C7">
        <v>2</v>
      </c>
      <c r="D7" s="2" t="str">
        <f ca="1">INDEX(INDIRECT(A7),C7)</f>
        <v>h) Förderung der aktiven Inklusion…</v>
      </c>
    </row>
    <row r="8" spans="1:6" x14ac:dyDescent="0.2">
      <c r="A8" t="s">
        <v>351</v>
      </c>
      <c r="B8" t="s">
        <v>353</v>
      </c>
      <c r="C8">
        <v>2</v>
      </c>
      <c r="D8" s="2" t="str">
        <f ca="1">INDEX(INDIRECT(A8),C8)</f>
        <v>Frauen aktiv in die Zukunft</v>
      </c>
      <c r="E8">
        <f>IF(ISERROR(MATCH("Auswahl"&amp;Pachseauswahl&amp;Aktionauswahl,FAnsatzAuswahlen,0)),1,MATCH("Auswahl"&amp;Pachseauswahl&amp;Aktionauswahl,FAnsatzAuswahlen,0)-1)</f>
        <v>2</v>
      </c>
    </row>
    <row r="9" spans="1:6" x14ac:dyDescent="0.2">
      <c r="A9" t="s">
        <v>296</v>
      </c>
      <c r="B9" t="s">
        <v>353</v>
      </c>
      <c r="C9">
        <v>1</v>
      </c>
      <c r="D9" s="2" t="str">
        <f ca="1">INDEX(INDIRECT(A9),C9)</f>
        <v>Bitte auswählen</v>
      </c>
      <c r="E9" t="str">
        <f ca="1">IF(Plstg="Qualifizierung","Quali",IF(Plstg="Beratung","Berat",IF(Plstg="Qualifizierung Altenpflege","Pfl",IF(Plstg="niedrigschwellige Qualifizierung","NQ"," "))))</f>
        <v xml:space="preserve"> </v>
      </c>
      <c r="F9">
        <f>IF(ISERROR(MATCH("Auswahl"&amp;Pachseauswahl&amp;Aktionauswahl&amp;Foeauswahl,Plstgauswahlen,0)),1,MATCH("Auswahl"&amp;Pachseauswahl&amp;Aktionauswahl&amp;Foeauswahl,Plstgauswahlen,0)-1)</f>
        <v>2</v>
      </c>
    </row>
    <row r="10" spans="1:6" ht="38.25" x14ac:dyDescent="0.2">
      <c r="A10" t="s">
        <v>297</v>
      </c>
      <c r="B10" t="s">
        <v>353</v>
      </c>
      <c r="C10">
        <v>2</v>
      </c>
      <c r="D10" s="2" t="str">
        <f ca="1">INDEX(INDIRECT(A10),C10)</f>
        <v>Langzeitleistungsbeziehende (SGB II) / strukturell Benachteiligte im Leistungsbezug (SGB II)</v>
      </c>
    </row>
    <row r="13" spans="1:6" x14ac:dyDescent="0.2">
      <c r="A13" t="s">
        <v>217</v>
      </c>
      <c r="B13" t="s">
        <v>353</v>
      </c>
    </row>
    <row r="15" spans="1:6" x14ac:dyDescent="0.2">
      <c r="A15" t="s">
        <v>359</v>
      </c>
      <c r="B15" t="s">
        <v>352</v>
      </c>
      <c r="C15">
        <v>0</v>
      </c>
      <c r="D15" s="227" t="str">
        <f>IF(Chancengleichheitauswahl=1,"findet Beachtung",IF(Chancengleichheitauswahl=2,"findet keine Beachtung",IF(Chancengleichheitauswahl=3,"keine Relevanz"," " )))</f>
        <v xml:space="preserve"> </v>
      </c>
    </row>
    <row r="16" spans="1:6" x14ac:dyDescent="0.2">
      <c r="A16" t="s">
        <v>363</v>
      </c>
      <c r="B16" t="s">
        <v>352</v>
      </c>
      <c r="C16">
        <v>0</v>
      </c>
      <c r="D16" s="227" t="str">
        <f>IF(Nachhaltigoekoauswahl=1,"findet Beachtung",IF(Nachhaltigoekoauswahl=2,"findet keine Beachtung",IF(Nachhaltigoekoauswahl=3,"keine Relevanz", " ")))</f>
        <v xml:space="preserve"> </v>
      </c>
    </row>
    <row r="17" spans="1:4" x14ac:dyDescent="0.2">
      <c r="A17" t="s">
        <v>360</v>
      </c>
      <c r="B17" t="s">
        <v>352</v>
      </c>
      <c r="C17">
        <v>0</v>
      </c>
      <c r="D17" s="227" t="str">
        <f>IF(Nachhaltigoekoloauswahl=1,"findet Beachtung",IF(Nachhaltigoekoloauswahl=2,"findet keine Beachtung",IF(Nachhaltigoekoloauswahl=3,"keine Relevanz", " ")))</f>
        <v xml:space="preserve"> </v>
      </c>
    </row>
    <row r="18" spans="1:4" x14ac:dyDescent="0.2">
      <c r="A18" t="s">
        <v>361</v>
      </c>
      <c r="B18" t="s">
        <v>352</v>
      </c>
      <c r="C18">
        <v>0</v>
      </c>
      <c r="D18" s="227" t="str">
        <f>IF(Nachhaltigsozialauswahl=1,"findet Beachtung",IF(Nachhaltigsozialauswahl=2,"findet keine Beachtung",IF(Nachhaltigsozialauswahl=3,"keine Relevanz", " ")))</f>
        <v xml:space="preserve"> </v>
      </c>
    </row>
    <row r="19" spans="1:4" x14ac:dyDescent="0.2">
      <c r="A19" t="s">
        <v>362</v>
      </c>
      <c r="B19" t="s">
        <v>352</v>
      </c>
      <c r="C19">
        <v>0</v>
      </c>
      <c r="D19" s="227" t="str">
        <f>IF(Transnationalauswahl=1,"findet Beachtung",IF(Transnationalauswahl=2,"findet keine Beachtung",IF(Transnationalauswahl=3,"keine Relevanz", " " )))</f>
        <v xml:space="preserve"> </v>
      </c>
    </row>
    <row r="21" spans="1:4" x14ac:dyDescent="0.2">
      <c r="A21" t="s">
        <v>378</v>
      </c>
      <c r="B21" t="s">
        <v>352</v>
      </c>
      <c r="C21">
        <v>0</v>
      </c>
      <c r="D21" s="2" t="str">
        <f>IF(Entschuldung = 1, "Durchführung von Maßnahmen zur Entschuldung.", IF(Entschuldung=2,"keine Durchführung von Maßnahmen zur Entschuldung", " "))</f>
        <v xml:space="preserve"> </v>
      </c>
    </row>
    <row r="22" spans="1:4" x14ac:dyDescent="0.2">
      <c r="A22" t="s">
        <v>379</v>
      </c>
      <c r="B22" t="s">
        <v>352</v>
      </c>
      <c r="C22">
        <v>0</v>
      </c>
      <c r="D22" s="2" t="str">
        <f>IF(EuropaIch = 1, "Durchführung des Moduls Europa und Ich.", IF(EuropaIch=2,"keine Durchführung des Moduls Europa und Ich", " " ))</f>
        <v xml:space="preserve"> </v>
      </c>
    </row>
    <row r="25" spans="1:4" x14ac:dyDescent="0.2">
      <c r="A25" s="4" t="s">
        <v>380</v>
      </c>
    </row>
    <row r="26" spans="1:4" x14ac:dyDescent="0.2">
      <c r="A26" t="s">
        <v>381</v>
      </c>
      <c r="B26" t="s">
        <v>352</v>
      </c>
      <c r="C26">
        <v>0</v>
      </c>
    </row>
    <row r="27" spans="1:4" x14ac:dyDescent="0.2">
      <c r="A27" t="s">
        <v>388</v>
      </c>
      <c r="B27" t="s">
        <v>352</v>
      </c>
      <c r="C27">
        <v>0</v>
      </c>
    </row>
    <row r="28" spans="1:4" x14ac:dyDescent="0.2">
      <c r="A28" t="s">
        <v>391</v>
      </c>
      <c r="B28" t="s">
        <v>352</v>
      </c>
      <c r="C28">
        <v>0</v>
      </c>
    </row>
    <row r="29" spans="1:4" x14ac:dyDescent="0.2">
      <c r="A29" s="217" t="s">
        <v>394</v>
      </c>
      <c r="B29" s="217" t="s">
        <v>353</v>
      </c>
      <c r="C29">
        <v>1</v>
      </c>
      <c r="D29" s="2">
        <f ca="1">INDEX(INDIRECT(A29), C29)</f>
        <v>0</v>
      </c>
    </row>
    <row r="31" spans="1:4" x14ac:dyDescent="0.2">
      <c r="A31" t="s">
        <v>42</v>
      </c>
      <c r="B31" s="89">
        <f>(DATEDIF(Beginn,Ende,"M")+1)</f>
        <v>1</v>
      </c>
    </row>
    <row r="33" spans="1:4" x14ac:dyDescent="0.2">
      <c r="A33" t="s">
        <v>294</v>
      </c>
      <c r="B33" t="s">
        <v>352</v>
      </c>
      <c r="C33">
        <v>1</v>
      </c>
      <c r="D33" s="2" t="str">
        <f ca="1">INDEX(INDIRECT(A33), C33)</f>
        <v>Bitte auswählen</v>
      </c>
    </row>
    <row r="34" spans="1:4" x14ac:dyDescent="0.2">
      <c r="A34" t="s">
        <v>618</v>
      </c>
      <c r="B34" t="s">
        <v>352</v>
      </c>
      <c r="C34">
        <v>1</v>
      </c>
      <c r="D34" s="2" t="str">
        <f ca="1">INDEX(INDIRECT(A34), C34)</f>
        <v>Bitte auswählen</v>
      </c>
    </row>
    <row r="35" spans="1:4" x14ac:dyDescent="0.2">
      <c r="A35" t="s">
        <v>619</v>
      </c>
      <c r="B35" t="s">
        <v>352</v>
      </c>
      <c r="C35">
        <v>1</v>
      </c>
      <c r="D35" s="2">
        <f ca="1">INDEX(INDIRECT(A35), C35)</f>
        <v>0</v>
      </c>
    </row>
    <row r="37" spans="1:4" x14ac:dyDescent="0.2">
      <c r="A37" s="217" t="s">
        <v>700</v>
      </c>
      <c r="B37" s="217" t="s">
        <v>353</v>
      </c>
      <c r="C37" s="217">
        <v>1</v>
      </c>
    </row>
  </sheetData>
  <customSheetViews>
    <customSheetView guid="{EEA7A97B-E2BF-43AD-B211-D284BEE221A1}" showRuler="0">
      <selection activeCell="A2" sqref="A2:B2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2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B4"/>
  <sheetViews>
    <sheetView workbookViewId="0">
      <selection activeCell="A8" sqref="A8"/>
    </sheetView>
  </sheetViews>
  <sheetFormatPr baseColWidth="10" defaultRowHeight="12.75" x14ac:dyDescent="0.2"/>
  <cols>
    <col min="1" max="1" width="7.140625" customWidth="1"/>
    <col min="2" max="2" width="16.5703125" customWidth="1"/>
  </cols>
  <sheetData>
    <row r="1" spans="1:2" x14ac:dyDescent="0.2">
      <c r="A1" s="216" t="s">
        <v>873</v>
      </c>
      <c r="B1" s="217" t="s">
        <v>874</v>
      </c>
    </row>
    <row r="2" spans="1:2" x14ac:dyDescent="0.2">
      <c r="A2" s="216" t="s">
        <v>875</v>
      </c>
      <c r="B2" s="217" t="s">
        <v>877</v>
      </c>
    </row>
    <row r="3" spans="1:2" x14ac:dyDescent="0.2">
      <c r="A3" s="79"/>
    </row>
    <row r="4" spans="1:2" x14ac:dyDescent="0.2">
      <c r="A4" s="79" t="s">
        <v>104</v>
      </c>
      <c r="B4" t="s">
        <v>554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1"/>
  <dimension ref="A1:B39"/>
  <sheetViews>
    <sheetView workbookViewId="0">
      <selection activeCell="F11" sqref="F11"/>
    </sheetView>
  </sheetViews>
  <sheetFormatPr baseColWidth="10" defaultRowHeight="12.75" x14ac:dyDescent="0.2"/>
  <cols>
    <col min="1" max="1" width="24.7109375" bestFit="1" customWidth="1"/>
    <col min="2" max="2" width="11.42578125" style="79" customWidth="1"/>
  </cols>
  <sheetData>
    <row r="1" spans="1:2" x14ac:dyDescent="0.2">
      <c r="A1" s="8" t="s">
        <v>680</v>
      </c>
    </row>
    <row r="2" spans="1:2" x14ac:dyDescent="0.2">
      <c r="A2" s="365" t="s">
        <v>983</v>
      </c>
      <c r="B2" s="216" t="s">
        <v>104</v>
      </c>
    </row>
    <row r="3" spans="1:2" s="366" customFormat="1" x14ac:dyDescent="0.2">
      <c r="A3" s="365" t="s">
        <v>922</v>
      </c>
      <c r="B3" s="216" t="s">
        <v>104</v>
      </c>
    </row>
    <row r="4" spans="1:2" x14ac:dyDescent="0.2">
      <c r="A4" s="17" t="s">
        <v>78</v>
      </c>
      <c r="B4" s="216" t="s">
        <v>104</v>
      </c>
    </row>
    <row r="5" spans="1:2" x14ac:dyDescent="0.2">
      <c r="A5" s="17" t="s">
        <v>105</v>
      </c>
      <c r="B5" s="216" t="s">
        <v>104</v>
      </c>
    </row>
    <row r="6" spans="1:2" x14ac:dyDescent="0.2">
      <c r="A6" s="17" t="s">
        <v>64</v>
      </c>
      <c r="B6" s="216" t="s">
        <v>873</v>
      </c>
    </row>
    <row r="7" spans="1:2" x14ac:dyDescent="0.2">
      <c r="A7" s="17" t="s">
        <v>65</v>
      </c>
      <c r="B7" s="216" t="s">
        <v>104</v>
      </c>
    </row>
    <row r="8" spans="1:2" x14ac:dyDescent="0.2">
      <c r="A8" s="17" t="s">
        <v>79</v>
      </c>
      <c r="B8" s="216" t="s">
        <v>873</v>
      </c>
    </row>
    <row r="9" spans="1:2" x14ac:dyDescent="0.2">
      <c r="A9" s="17" t="s">
        <v>58</v>
      </c>
      <c r="B9" s="79" t="s">
        <v>104</v>
      </c>
    </row>
    <row r="10" spans="1:2" x14ac:dyDescent="0.2">
      <c r="A10" s="17" t="s">
        <v>80</v>
      </c>
      <c r="B10" s="216" t="s">
        <v>104</v>
      </c>
    </row>
    <row r="11" spans="1:2" x14ac:dyDescent="0.2">
      <c r="A11" s="17" t="s">
        <v>59</v>
      </c>
      <c r="B11" s="79" t="s">
        <v>104</v>
      </c>
    </row>
    <row r="12" spans="1:2" x14ac:dyDescent="0.2">
      <c r="A12" s="17" t="s">
        <v>55</v>
      </c>
      <c r="B12" s="79" t="s">
        <v>104</v>
      </c>
    </row>
    <row r="13" spans="1:2" x14ac:dyDescent="0.2">
      <c r="A13" s="17" t="s">
        <v>82</v>
      </c>
      <c r="B13" s="216" t="s">
        <v>104</v>
      </c>
    </row>
    <row r="14" spans="1:2" x14ac:dyDescent="0.2">
      <c r="A14" s="17" t="s">
        <v>81</v>
      </c>
      <c r="B14" s="216" t="s">
        <v>104</v>
      </c>
    </row>
    <row r="15" spans="1:2" x14ac:dyDescent="0.2">
      <c r="A15" s="17" t="s">
        <v>66</v>
      </c>
      <c r="B15" s="79" t="s">
        <v>104</v>
      </c>
    </row>
    <row r="16" spans="1:2" x14ac:dyDescent="0.2">
      <c r="A16" s="17" t="s">
        <v>67</v>
      </c>
      <c r="B16" s="79" t="s">
        <v>104</v>
      </c>
    </row>
    <row r="17" spans="1:2" x14ac:dyDescent="0.2">
      <c r="A17" s="17" t="s">
        <v>68</v>
      </c>
      <c r="B17" s="216" t="s">
        <v>873</v>
      </c>
    </row>
    <row r="18" spans="1:2" x14ac:dyDescent="0.2">
      <c r="A18" s="17" t="s">
        <v>69</v>
      </c>
      <c r="B18" s="216" t="s">
        <v>875</v>
      </c>
    </row>
    <row r="19" spans="1:2" x14ac:dyDescent="0.2">
      <c r="A19" s="17" t="s">
        <v>56</v>
      </c>
      <c r="B19" s="216" t="s">
        <v>104</v>
      </c>
    </row>
    <row r="20" spans="1:2" x14ac:dyDescent="0.2">
      <c r="A20" s="17" t="s">
        <v>107</v>
      </c>
      <c r="B20" s="216" t="s">
        <v>875</v>
      </c>
    </row>
    <row r="21" spans="1:2" x14ac:dyDescent="0.2">
      <c r="A21" s="17" t="s">
        <v>108</v>
      </c>
      <c r="B21" s="216" t="s">
        <v>875</v>
      </c>
    </row>
    <row r="22" spans="1:2" x14ac:dyDescent="0.2">
      <c r="A22" s="8" t="s">
        <v>106</v>
      </c>
      <c r="B22" s="216" t="s">
        <v>873</v>
      </c>
    </row>
    <row r="23" spans="1:2" x14ac:dyDescent="0.2">
      <c r="A23" s="17" t="s">
        <v>83</v>
      </c>
      <c r="B23" s="216" t="s">
        <v>104</v>
      </c>
    </row>
    <row r="24" spans="1:2" x14ac:dyDescent="0.2">
      <c r="A24" s="17" t="s">
        <v>71</v>
      </c>
      <c r="B24" s="79" t="s">
        <v>104</v>
      </c>
    </row>
    <row r="25" spans="1:2" s="363" customFormat="1" x14ac:dyDescent="0.2">
      <c r="A25" s="365" t="s">
        <v>878</v>
      </c>
      <c r="B25" s="216" t="s">
        <v>104</v>
      </c>
    </row>
    <row r="26" spans="1:2" x14ac:dyDescent="0.2">
      <c r="A26" s="17" t="s">
        <v>60</v>
      </c>
      <c r="B26" s="79" t="s">
        <v>104</v>
      </c>
    </row>
    <row r="27" spans="1:2" x14ac:dyDescent="0.2">
      <c r="A27" s="17" t="s">
        <v>84</v>
      </c>
      <c r="B27" s="216" t="s">
        <v>875</v>
      </c>
    </row>
    <row r="28" spans="1:2" x14ac:dyDescent="0.2">
      <c r="A28" s="17" t="s">
        <v>109</v>
      </c>
      <c r="B28" s="216" t="s">
        <v>873</v>
      </c>
    </row>
    <row r="29" spans="1:2" x14ac:dyDescent="0.2">
      <c r="A29" s="17" t="s">
        <v>61</v>
      </c>
      <c r="B29" s="79" t="s">
        <v>104</v>
      </c>
    </row>
    <row r="30" spans="1:2" x14ac:dyDescent="0.2">
      <c r="A30" s="17" t="s">
        <v>70</v>
      </c>
      <c r="B30" s="216" t="s">
        <v>875</v>
      </c>
    </row>
    <row r="31" spans="1:2" x14ac:dyDescent="0.2">
      <c r="A31" s="17" t="s">
        <v>85</v>
      </c>
      <c r="B31" s="216" t="s">
        <v>104</v>
      </c>
    </row>
    <row r="32" spans="1:2" x14ac:dyDescent="0.2">
      <c r="A32" s="17" t="s">
        <v>86</v>
      </c>
      <c r="B32" s="216" t="s">
        <v>873</v>
      </c>
    </row>
    <row r="33" spans="1:2" x14ac:dyDescent="0.2">
      <c r="A33" s="17" t="s">
        <v>91</v>
      </c>
      <c r="B33" s="216" t="s">
        <v>873</v>
      </c>
    </row>
    <row r="34" spans="1:2" x14ac:dyDescent="0.2">
      <c r="A34" s="18" t="s">
        <v>88</v>
      </c>
      <c r="B34" s="216" t="s">
        <v>104</v>
      </c>
    </row>
    <row r="35" spans="1:2" x14ac:dyDescent="0.2">
      <c r="A35" s="17" t="s">
        <v>54</v>
      </c>
      <c r="B35" s="79" t="s">
        <v>104</v>
      </c>
    </row>
    <row r="36" spans="1:2" x14ac:dyDescent="0.2">
      <c r="A36" s="17" t="s">
        <v>62</v>
      </c>
      <c r="B36" s="216" t="s">
        <v>873</v>
      </c>
    </row>
    <row r="37" spans="1:2" x14ac:dyDescent="0.2">
      <c r="A37" s="17" t="s">
        <v>57</v>
      </c>
      <c r="B37" s="79" t="s">
        <v>104</v>
      </c>
    </row>
    <row r="38" spans="1:2" x14ac:dyDescent="0.2">
      <c r="A38" s="17" t="s">
        <v>63</v>
      </c>
      <c r="B38" s="216" t="s">
        <v>873</v>
      </c>
    </row>
    <row r="39" spans="1:2" x14ac:dyDescent="0.2">
      <c r="A39" s="17" t="s">
        <v>87</v>
      </c>
      <c r="B39" s="79" t="s">
        <v>104</v>
      </c>
    </row>
  </sheetData>
  <autoFilter ref="A2:B39" xr:uid="{00000000-0009-0000-0000-000007000000}"/>
  <customSheetViews>
    <customSheetView guid="{EEA7A97B-E2BF-43AD-B211-D284BEE221A1}" showRuler="0">
      <selection sqref="A1:A38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/>
  <dimension ref="A1:A4"/>
  <sheetViews>
    <sheetView workbookViewId="0">
      <selection activeCell="A3" sqref="A3"/>
    </sheetView>
  </sheetViews>
  <sheetFormatPr baseColWidth="10" defaultRowHeight="12.75" x14ac:dyDescent="0.2"/>
  <cols>
    <col min="1" max="1" width="121.5703125" customWidth="1"/>
  </cols>
  <sheetData>
    <row r="1" spans="1:1" x14ac:dyDescent="0.2">
      <c r="A1" s="4" t="s">
        <v>288</v>
      </c>
    </row>
    <row r="2" spans="1:1" x14ac:dyDescent="0.2">
      <c r="A2" s="217" t="s">
        <v>680</v>
      </c>
    </row>
    <row r="3" spans="1:1" x14ac:dyDescent="0.2">
      <c r="A3" s="217"/>
    </row>
    <row r="4" spans="1:1" x14ac:dyDescent="0.2">
      <c r="A4" s="217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212</vt:i4>
      </vt:variant>
    </vt:vector>
  </HeadingPairs>
  <TitlesOfParts>
    <vt:vector size="233" baseType="lpstr">
      <vt:lpstr>Anmeldeformular2022-3</vt:lpstr>
      <vt:lpstr>Check</vt:lpstr>
      <vt:lpstr>DokuBogen</vt:lpstr>
      <vt:lpstr>DOKU_Verk</vt:lpstr>
      <vt:lpstr>Intern</vt:lpstr>
      <vt:lpstr>Auswahl</vt:lpstr>
      <vt:lpstr>HSOB</vt:lpstr>
      <vt:lpstr>GK</vt:lpstr>
      <vt:lpstr>Pachse</vt:lpstr>
      <vt:lpstr>spez.Ziel</vt:lpstr>
      <vt:lpstr>FAnsatz</vt:lpstr>
      <vt:lpstr>Plstg</vt:lpstr>
      <vt:lpstr>ZG</vt:lpstr>
      <vt:lpstr>fehl.Kofi</vt:lpstr>
      <vt:lpstr>Bedarfbest</vt:lpstr>
      <vt:lpstr>Namen</vt:lpstr>
      <vt:lpstr>Namenliste</vt:lpstr>
      <vt:lpstr>Datenbank_Ende</vt:lpstr>
      <vt:lpstr>Tabelle1</vt:lpstr>
      <vt:lpstr>Tabelle2</vt:lpstr>
      <vt:lpstr>Tabelle3</vt:lpstr>
      <vt:lpstr>Akauswahl</vt:lpstr>
      <vt:lpstr>Aktion</vt:lpstr>
      <vt:lpstr>Aktionauswahl</vt:lpstr>
      <vt:lpstr>Aktionliste</vt:lpstr>
      <vt:lpstr>AktionlisteGesamt</vt:lpstr>
      <vt:lpstr>aktivkofi</vt:lpstr>
      <vt:lpstr>andland1jahr</vt:lpstr>
      <vt:lpstr>andland2jahr</vt:lpstr>
      <vt:lpstr>andland3jahr</vt:lpstr>
      <vt:lpstr>andland4jahr</vt:lpstr>
      <vt:lpstr>andlandges</vt:lpstr>
      <vt:lpstr>Anmeldeingang</vt:lpstr>
      <vt:lpstr>AnmeldeNummer</vt:lpstr>
      <vt:lpstr>Anspranrede</vt:lpstr>
      <vt:lpstr>ansprmail</vt:lpstr>
      <vt:lpstr>Ansprname</vt:lpstr>
      <vt:lpstr>ansprtel</vt:lpstr>
      <vt:lpstr>ansprvorname</vt:lpstr>
      <vt:lpstr>AZvorprojekt</vt:lpstr>
      <vt:lpstr>ba1jahr</vt:lpstr>
      <vt:lpstr>ba2jahr</vt:lpstr>
      <vt:lpstr>ba3jahr</vt:lpstr>
      <vt:lpstr>ba4jahr</vt:lpstr>
      <vt:lpstr>BAges</vt:lpstr>
      <vt:lpstr>BAinstit</vt:lpstr>
      <vt:lpstr>Bedarf</vt:lpstr>
      <vt:lpstr>Bedarfbest</vt:lpstr>
      <vt:lpstr>Bedarfbestauswahl</vt:lpstr>
      <vt:lpstr>Bedarfbestliste</vt:lpstr>
      <vt:lpstr>Beginn</vt:lpstr>
      <vt:lpstr>Beraterliste</vt:lpstr>
      <vt:lpstr>Beraternamen</vt:lpstr>
      <vt:lpstr>BewertungBS</vt:lpstr>
      <vt:lpstr>Bewertungspunkte</vt:lpstr>
      <vt:lpstr>Chancengleichheitauswahl</vt:lpstr>
      <vt:lpstr>Corona</vt:lpstr>
      <vt:lpstr>Datenzeile</vt:lpstr>
      <vt:lpstr>Dokuaktionauswahl</vt:lpstr>
      <vt:lpstr>Dokufansatzauswahl</vt:lpstr>
      <vt:lpstr>DokuPauswahl</vt:lpstr>
      <vt:lpstr>'Anmeldeformular2022-3'!Druckbereich</vt:lpstr>
      <vt:lpstr>Check!Druckbereich</vt:lpstr>
      <vt:lpstr>DokuBogen!Druckbereich</vt:lpstr>
      <vt:lpstr>edwd</vt:lpstr>
      <vt:lpstr>edwdAuswahl</vt:lpstr>
      <vt:lpstr>eigen1jahr</vt:lpstr>
      <vt:lpstr>eigen2jahr</vt:lpstr>
      <vt:lpstr>eigen3jahr</vt:lpstr>
      <vt:lpstr>eigenges</vt:lpstr>
      <vt:lpstr>einnahmen1jahr</vt:lpstr>
      <vt:lpstr>einnahmen2jahr</vt:lpstr>
      <vt:lpstr>einnahmen3jahr</vt:lpstr>
      <vt:lpstr>einnahmenges</vt:lpstr>
      <vt:lpstr>Ende</vt:lpstr>
      <vt:lpstr>entgelttn1jahr</vt:lpstr>
      <vt:lpstr>entgelttn2jahr</vt:lpstr>
      <vt:lpstr>entgelttn3jahr</vt:lpstr>
      <vt:lpstr>entgeltTNges</vt:lpstr>
      <vt:lpstr>Entschuldung</vt:lpstr>
      <vt:lpstr>ErlaeuterungChancengl</vt:lpstr>
      <vt:lpstr>esf1jahr</vt:lpstr>
      <vt:lpstr>esf2jahr</vt:lpstr>
      <vt:lpstr>esf3jahr</vt:lpstr>
      <vt:lpstr>esf4jahr</vt:lpstr>
      <vt:lpstr>esfges</vt:lpstr>
      <vt:lpstr>EuropaIch</vt:lpstr>
      <vt:lpstr>Fansatz</vt:lpstr>
      <vt:lpstr>FAnsatzAuswahlen</vt:lpstr>
      <vt:lpstr>Fansatzliste</vt:lpstr>
      <vt:lpstr>FansatzlisteGesamt</vt:lpstr>
      <vt:lpstr>FAnsatzlisteVersatz</vt:lpstr>
      <vt:lpstr>fehl.kofi</vt:lpstr>
      <vt:lpstr>fehl.Kofiauswahl</vt:lpstr>
      <vt:lpstr>Foeansatzlisteges</vt:lpstr>
      <vt:lpstr>Foeauswahl</vt:lpstr>
      <vt:lpstr>FProjBeginn</vt:lpstr>
      <vt:lpstr>FristEingang</vt:lpstr>
      <vt:lpstr>GEK</vt:lpstr>
      <vt:lpstr>GKAuswahl</vt:lpstr>
      <vt:lpstr>GKListe</vt:lpstr>
      <vt:lpstr>HSOB</vt:lpstr>
      <vt:lpstr>Indikatorik</vt:lpstr>
      <vt:lpstr>Inhalte</vt:lpstr>
      <vt:lpstr>intervesf</vt:lpstr>
      <vt:lpstr>justiz1jahr</vt:lpstr>
      <vt:lpstr>justiz2jahr</vt:lpstr>
      <vt:lpstr>justiz3jahr</vt:lpstr>
      <vt:lpstr>justiz4jahr</vt:lpstr>
      <vt:lpstr>justizges</vt:lpstr>
      <vt:lpstr>KMU</vt:lpstr>
      <vt:lpstr>kom1jahr</vt:lpstr>
      <vt:lpstr>kom2jahr</vt:lpstr>
      <vt:lpstr>kom3jahr</vt:lpstr>
      <vt:lpstr>kom4jahr</vt:lpstr>
      <vt:lpstr>komges</vt:lpstr>
      <vt:lpstr>Koop</vt:lpstr>
      <vt:lpstr>Kost1jahr</vt:lpstr>
      <vt:lpstr>Kost2jahr</vt:lpstr>
      <vt:lpstr>Kost3jahr</vt:lpstr>
      <vt:lpstr>kostges</vt:lpstr>
      <vt:lpstr>Laufzeit</vt:lpstr>
      <vt:lpstr>LDKom</vt:lpstr>
      <vt:lpstr>Ltganrede</vt:lpstr>
      <vt:lpstr>ltgname</vt:lpstr>
      <vt:lpstr>ltgtitel</vt:lpstr>
      <vt:lpstr>ltgvorname</vt:lpstr>
      <vt:lpstr>mastd1jahr</vt:lpstr>
      <vt:lpstr>mastd2jahr</vt:lpstr>
      <vt:lpstr>mastd3jahr</vt:lpstr>
      <vt:lpstr>mastdges</vt:lpstr>
      <vt:lpstr>mb1jahr</vt:lpstr>
      <vt:lpstr>mb2jahr</vt:lpstr>
      <vt:lpstr>mb3jahr</vt:lpstr>
      <vt:lpstr>mb4jahr</vt:lpstr>
      <vt:lpstr>mbges</vt:lpstr>
      <vt:lpstr>Methode</vt:lpstr>
      <vt:lpstr>mffki1jahr</vt:lpstr>
      <vt:lpstr>mffki2jahr</vt:lpstr>
      <vt:lpstr>mffki3jahr</vt:lpstr>
      <vt:lpstr>mffkiges</vt:lpstr>
      <vt:lpstr>Migrat</vt:lpstr>
      <vt:lpstr>mkuem1jahr</vt:lpstr>
      <vt:lpstr>mkuem2jahr</vt:lpstr>
      <vt:lpstr>mkuem3jahr</vt:lpstr>
      <vt:lpstr>mkuemges</vt:lpstr>
      <vt:lpstr>mwg1jahr</vt:lpstr>
      <vt:lpstr>mwg2jahr</vt:lpstr>
      <vt:lpstr>mwg3jahr</vt:lpstr>
      <vt:lpstr>mwgges</vt:lpstr>
      <vt:lpstr>mwvlw1jahr</vt:lpstr>
      <vt:lpstr>mwvlw2jahr</vt:lpstr>
      <vt:lpstr>mwvlw3jahr</vt:lpstr>
      <vt:lpstr>mwvlwges</vt:lpstr>
      <vt:lpstr>Nachhaltigoekoauswahl</vt:lpstr>
      <vt:lpstr>Nachhaltigoekoloauswahl</vt:lpstr>
      <vt:lpstr>Nachhaltigsozialauswahl</vt:lpstr>
      <vt:lpstr>neufass</vt:lpstr>
      <vt:lpstr>nrvorproj</vt:lpstr>
      <vt:lpstr>Pachse</vt:lpstr>
      <vt:lpstr>Pachseauswahl</vt:lpstr>
      <vt:lpstr>Pachsekurz</vt:lpstr>
      <vt:lpstr>Pachseliste</vt:lpstr>
      <vt:lpstr>Persk</vt:lpstr>
      <vt:lpstr>PK</vt:lpstr>
      <vt:lpstr>Pkauswahl</vt:lpstr>
      <vt:lpstr>PkostAG</vt:lpstr>
      <vt:lpstr>Plstg</vt:lpstr>
      <vt:lpstr>Plstgansatzliste</vt:lpstr>
      <vt:lpstr>Plstgansatzlisteversatz</vt:lpstr>
      <vt:lpstr>PlstgAuswahl</vt:lpstr>
      <vt:lpstr>Plstgauswahlen</vt:lpstr>
      <vt:lpstr>Plstgauswahlgesamt</vt:lpstr>
      <vt:lpstr>PLstgkurz</vt:lpstr>
      <vt:lpstr>Plstgliste</vt:lpstr>
      <vt:lpstr>Pnrvorgaenger</vt:lpstr>
      <vt:lpstr>Prio2auswahl</vt:lpstr>
      <vt:lpstr>Prioauswahl</vt:lpstr>
      <vt:lpstr>Projektname</vt:lpstr>
      <vt:lpstr>Projnettokosten</vt:lpstr>
      <vt:lpstr>Pstruktur</vt:lpstr>
      <vt:lpstr>Ptitel</vt:lpstr>
      <vt:lpstr>Quersch</vt:lpstr>
      <vt:lpstr>regBed</vt:lpstr>
      <vt:lpstr>sgbII1jahr</vt:lpstr>
      <vt:lpstr>sgbII2jahr</vt:lpstr>
      <vt:lpstr>SgbIIges</vt:lpstr>
      <vt:lpstr>SitZG</vt:lpstr>
      <vt:lpstr>SK</vt:lpstr>
      <vt:lpstr>spenden1jahr</vt:lpstr>
      <vt:lpstr>spenden2jahr</vt:lpstr>
      <vt:lpstr>spenden3jahr</vt:lpstr>
      <vt:lpstr>spendenges</vt:lpstr>
      <vt:lpstr>SProjBeginn</vt:lpstr>
      <vt:lpstr>sstgoef1jahr</vt:lpstr>
      <vt:lpstr>sstgoef2jahr</vt:lpstr>
      <vt:lpstr>sstgoeff3jahr</vt:lpstr>
      <vt:lpstr>sstgoefges</vt:lpstr>
      <vt:lpstr>Temail</vt:lpstr>
      <vt:lpstr>teurekanr</vt:lpstr>
      <vt:lpstr>Tfax</vt:lpstr>
      <vt:lpstr>Tname</vt:lpstr>
      <vt:lpstr>TNanz</vt:lpstr>
      <vt:lpstr>TNbes</vt:lpstr>
      <vt:lpstr>TNgeb1jahr</vt:lpstr>
      <vt:lpstr>tngeb2jahr</vt:lpstr>
      <vt:lpstr>tngeb3jahr</vt:lpstr>
      <vt:lpstr>TNgebges</vt:lpstr>
      <vt:lpstr>TNK</vt:lpstr>
      <vt:lpstr>TNml</vt:lpstr>
      <vt:lpstr>TNnichtbinär</vt:lpstr>
      <vt:lpstr>TNpl</vt:lpstr>
      <vt:lpstr>TNrlpauswahl</vt:lpstr>
      <vt:lpstr>TNu25j</vt:lpstr>
      <vt:lpstr>TNue25</vt:lpstr>
      <vt:lpstr>TNue45</vt:lpstr>
      <vt:lpstr>Tnue55</vt:lpstr>
      <vt:lpstr>TNwbl</vt:lpstr>
      <vt:lpstr>Tort</vt:lpstr>
      <vt:lpstr>Tplz</vt:lpstr>
      <vt:lpstr>Transnationalauswahl</vt:lpstr>
      <vt:lpstr>Tstraße</vt:lpstr>
      <vt:lpstr>Ttel</vt:lpstr>
      <vt:lpstr>Ueregion</vt:lpstr>
      <vt:lpstr>VGK</vt:lpstr>
      <vt:lpstr>ZG</vt:lpstr>
      <vt:lpstr>ZGauswahl</vt:lpstr>
      <vt:lpstr>ZGliste</vt:lpstr>
      <vt:lpstr>zielvorg</vt:lpstr>
      <vt:lpstr>zuschussag1jahr</vt:lpstr>
      <vt:lpstr>zuschussag2jahr</vt:lpstr>
      <vt:lpstr>zuschussag3jahr</vt:lpstr>
      <vt:lpstr>ZuschussAGges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Hintz</dc:creator>
  <cp:lastModifiedBy>Hintz, Silvia</cp:lastModifiedBy>
  <cp:lastPrinted>2022-01-25T16:22:00Z</cp:lastPrinted>
  <dcterms:created xsi:type="dcterms:W3CDTF">2002-06-03T13:07:44Z</dcterms:created>
  <dcterms:modified xsi:type="dcterms:W3CDTF">2022-01-25T16:25:05Z</dcterms:modified>
</cp:coreProperties>
</file>