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DieseArbeitsmappe"/>
  <mc:AlternateContent xmlns:mc="http://schemas.openxmlformats.org/markup-compatibility/2006">
    <mc:Choice Requires="x15">
      <x15ac:absPath xmlns:x15ac="http://schemas.microsoft.com/office/spreadsheetml/2010/11/ac" url="Z:\HSOB\Auftrag 763 - ESF Beratungsstelle\Aufrufverfahren\2024-1\Formulare\"/>
    </mc:Choice>
  </mc:AlternateContent>
  <xr:revisionPtr revIDLastSave="0" documentId="13_ncr:1_{B8AA6439-6946-4627-9359-111B72582901}" xr6:coauthVersionLast="47" xr6:coauthVersionMax="47" xr10:uidLastSave="{00000000-0000-0000-0000-000000000000}"/>
  <workbookProtection workbookAlgorithmName="SHA-512" workbookHashValue="kp8I5FqiBmGJdCRlud+7IMTQuDbaVysUfn7NR6h2g2pi6hjtKSOu7ALX7PQM2tmGyURqfuqA5gVPtjrW8yWQ7g==" workbookSaltValue="nKmtF46cPzMubDTBZWDbKQ==" workbookSpinCount="100000" lockStructure="1"/>
  <bookViews>
    <workbookView xWindow="-108" yWindow="-108" windowWidth="23256" windowHeight="12576" xr2:uid="{00000000-000D-0000-FFFF-FFFF00000000}"/>
  </bookViews>
  <sheets>
    <sheet name="Anmeldeformular2024-1" sheetId="1" r:id="rId1"/>
    <sheet name="Check" sheetId="6" r:id="rId2"/>
    <sheet name="DokuBogen" sheetId="2" state="hidden" r:id="rId3"/>
    <sheet name="DOKU_Verk" sheetId="18" state="hidden" r:id="rId4"/>
    <sheet name="Intern" sheetId="7" state="hidden" r:id="rId5"/>
    <sheet name="Auswahl" sheetId="4" state="hidden" r:id="rId6"/>
    <sheet name="HSOB" sheetId="20" state="hidden" r:id="rId7"/>
    <sheet name="GK" sheetId="3" state="hidden" r:id="rId8"/>
    <sheet name="Pachse" sheetId="15" state="hidden" r:id="rId9"/>
    <sheet name="spez.Ziel" sheetId="16" state="hidden" r:id="rId10"/>
    <sheet name="FAnsatz" sheetId="14" state="hidden" r:id="rId11"/>
    <sheet name="Plstg" sheetId="21" state="hidden" r:id="rId12"/>
    <sheet name="ZG" sheetId="11" state="hidden" r:id="rId13"/>
    <sheet name="fehl.Kofi" sheetId="22" state="hidden" r:id="rId14"/>
    <sheet name="Bedarfbest" sheetId="17" state="hidden" r:id="rId15"/>
    <sheet name="Namen" sheetId="19" state="hidden" r:id="rId16"/>
    <sheet name="Namenliste" sheetId="8" state="hidden" r:id="rId17"/>
    <sheet name="Datenbank_Ende" sheetId="9" state="hidden" r:id="rId18"/>
    <sheet name="Tabelle1" sheetId="23" state="hidden" r:id="rId19"/>
    <sheet name="Tabelle2" sheetId="24" state="hidden" r:id="rId20"/>
    <sheet name="Tabelle3" sheetId="25" state="hidden" r:id="rId21"/>
  </sheets>
  <definedNames>
    <definedName name="_xlnm._FilterDatabase" localSheetId="7" hidden="1">GK!$A$2:$B$39</definedName>
    <definedName name="aBund">'Anmeldeformular2024-1'!#REF!</definedName>
    <definedName name="abund1jahr">'Anmeldeformular2024-1'!#REF!</definedName>
    <definedName name="abund2jahr">'Anmeldeformular2024-1'!#REF!</definedName>
    <definedName name="abund3jahr">'Anmeldeformular2024-1'!#REF!</definedName>
    <definedName name="abund4jahr">'Anmeldeformular2024-1'!#REF!</definedName>
    <definedName name="abund5jahr">'Anmeldeformular2024-1'!#REF!</definedName>
    <definedName name="abundges">'Anmeldeformular2024-1'!#REF!</definedName>
    <definedName name="Akauswahl">Auswahl!$C$2</definedName>
    <definedName name="Aktion">Auswahl!$D$7</definedName>
    <definedName name="Aktionauswahl">Auswahl!$C$7</definedName>
    <definedName name="Aktionliste">spez.Ziel!$A$2:$A$7</definedName>
    <definedName name="AktionlisteGesamt">spez.Ziel!$F$2:$F$14</definedName>
    <definedName name="aktivesf">'Anmeldeformular2024-1'!#REF!</definedName>
    <definedName name="aktivkofi">'Anmeldeformular2024-1'!$L$84</definedName>
    <definedName name="andeinnahmen">'Anmeldeformular2024-1'!#REF!</definedName>
    <definedName name="andland1jahr">'Anmeldeformular2024-1'!$P$71</definedName>
    <definedName name="andland2jahr">'Anmeldeformular2024-1'!$S$71</definedName>
    <definedName name="andland3jahr">'Anmeldeformular2024-1'!$V$71</definedName>
    <definedName name="andland4jahr">'Anmeldeformular2024-1'!$Y$71</definedName>
    <definedName name="andland5jahr">'Anmeldeformular2024-1'!#REF!</definedName>
    <definedName name="andlandges">'Anmeldeformular2024-1'!$M$71</definedName>
    <definedName name="Anmeldeingang">Intern!$B$3</definedName>
    <definedName name="AnmeldeNummer">Intern!$A$3</definedName>
    <definedName name="Anspranrede">'Anmeldeformular2024-1'!$B$21</definedName>
    <definedName name="ansprmail">'Anmeldeformular2024-1'!$L$23</definedName>
    <definedName name="Ansprname">'Anmeldeformular2024-1'!$F$21</definedName>
    <definedName name="ansprtel">'Anmeldeformular2024-1'!$B$23</definedName>
    <definedName name="ansprvorname">'Anmeldeformular2024-1'!$Q$21</definedName>
    <definedName name="anteilnettoandere">'Anmeldeformular2024-1'!#REF!</definedName>
    <definedName name="Anteilnettoesf">'Anmeldeformular2024-1'!#REF!</definedName>
    <definedName name="anteilnettokofi">'Anmeldeformular2024-1'!#REF!</definedName>
    <definedName name="AZvorprojekt">'Anmeldeformular2024-1'!$AA$36</definedName>
    <definedName name="ba1jahr">'Anmeldeformular2024-1'!$P$63</definedName>
    <definedName name="ba2jahr">'Anmeldeformular2024-1'!$S$63</definedName>
    <definedName name="ba3jahr">'Anmeldeformular2024-1'!$V$63</definedName>
    <definedName name="ba4jahr">'Anmeldeformular2024-1'!$Y$75</definedName>
    <definedName name="BAges">'Anmeldeformular2024-1'!$M$63</definedName>
    <definedName name="BAinstit">'Anmeldeformular2024-1'!$H$99</definedName>
    <definedName name="Bearbeiter">Intern!#REF!</definedName>
    <definedName name="Bedarf">'Anmeldeformular2024-1'!$B$118</definedName>
    <definedName name="Bedarfbest">Bedarfbest!$A$1:$A$11</definedName>
    <definedName name="Bedarfbestauswahl">Auswahl!$C$28</definedName>
    <definedName name="Bedarfbestliste">Bedarfbest!$A$1:$A$9</definedName>
    <definedName name="Beginn">'Anmeldeformular2024-1'!$B$35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Auswahl!$C$27</definedName>
    <definedName name="Bewertungspunkte">DokuBogen!$AD$58</definedName>
    <definedName name="Chartaauswahl">Auswahl!$C$10</definedName>
    <definedName name="Corona">'Anmeldeformular2024-1'!#REF!</definedName>
    <definedName name="Coronaerläuterung">'Anmeldeformular2024-1'!#REF!</definedName>
    <definedName name="Datenzeile">Intern!$A$3:$EN$3</definedName>
    <definedName name="Dokuaktionauswahl">Auswahl!$C$33</definedName>
    <definedName name="Dokufansatzauswahl">Auswahl!$C$34</definedName>
    <definedName name="DokuPauswahl">Auswahl!$C$32</definedName>
    <definedName name="_xlnm.Print_Area" localSheetId="0">'Anmeldeformular2024-1'!$A$7:$AC$158</definedName>
    <definedName name="_xlnm.Print_Area" localSheetId="1">Check!$A$1:$D$64</definedName>
    <definedName name="_xlnm.Print_Area" localSheetId="2">DokuBogen!$A$1:$AF$88</definedName>
    <definedName name="edwd">Auswahl!$D$3</definedName>
    <definedName name="edwdAuswahl">Auswahl!$C$3</definedName>
    <definedName name="eigen1jahr">'Anmeldeformular2024-1'!$P$75</definedName>
    <definedName name="eigen2jahr">'Anmeldeformular2024-1'!$S$75</definedName>
    <definedName name="eigen3jahr">'Anmeldeformular2024-1'!$V$75</definedName>
    <definedName name="eigen4jahr">'Anmeldeformular2024-1'!#REF!</definedName>
    <definedName name="eigenges">'Anmeldeformular2024-1'!$M$75</definedName>
    <definedName name="einnahmen1jahr">'Anmeldeformular2024-1'!$P$79</definedName>
    <definedName name="einnahmen2jahr">'Anmeldeformular2024-1'!$S$79</definedName>
    <definedName name="einnahmen3jahr">'Anmeldeformular2024-1'!$V$79</definedName>
    <definedName name="einnahmen4jahr">'Anmeldeformular2024-1'!#REF!</definedName>
    <definedName name="einnahmenges">'Anmeldeformular2024-1'!$M$79</definedName>
    <definedName name="Ende">'Anmeldeformular2024-1'!$F$35</definedName>
    <definedName name="entgelttn1jahr">'Anmeldeformular2024-1'!$P$77</definedName>
    <definedName name="entgelttn2jahr">'Anmeldeformular2024-1'!$S$77</definedName>
    <definedName name="entgelttn3jahr">'Anmeldeformular2024-1'!$V$77</definedName>
    <definedName name="entgelttn4jahr">'Anmeldeformular2024-1'!#REF!</definedName>
    <definedName name="entgeltTNges">'Anmeldeformular2024-1'!$M$77</definedName>
    <definedName name="Entschuldung">Auswahl!$C$20</definedName>
    <definedName name="Erfasser">Intern!#REF!</definedName>
    <definedName name="ErlaeuterungChancengl">'Anmeldeformular2024-1'!$B$149</definedName>
    <definedName name="esf1jahr">'Anmeldeformular2024-1'!$P$81</definedName>
    <definedName name="esf2jahr">'Anmeldeformular2024-1'!$S$81</definedName>
    <definedName name="esf3jahr">'Anmeldeformular2024-1'!$V$81</definedName>
    <definedName name="esf4jahr">'Anmeldeformular2024-1'!$Y$81</definedName>
    <definedName name="esfges">'Anmeldeformular2024-1'!$M$81</definedName>
    <definedName name="EuropaIch">Auswahl!$C$21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Auswahl!$C$36</definedName>
    <definedName name="FehlendeAngaben">Check!#REF!</definedName>
    <definedName name="Foeansatzlisteges">FAnsatz!$Q$2:$Q$20</definedName>
    <definedName name="Foeauswahl">Auswahl!$C$8</definedName>
    <definedName name="Foed1jahr">Intern!#REF!</definedName>
    <definedName name="foed2jahr">Intern!#REF!</definedName>
    <definedName name="foed3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Gleichstellungsauswahl">Auswahl!$C$14</definedName>
    <definedName name="HSOB">Auswahl!$E$5</definedName>
    <definedName name="Indikatorik">'Anmeldeformular2024-1'!$B$131</definedName>
    <definedName name="Inhalte">'Anmeldeformular2024-1'!$B$132</definedName>
    <definedName name="intervesf">'Anmeldeformular2024-1'!$W$84</definedName>
    <definedName name="justiz1jahr">'Anmeldeformular2024-1'!$P$68</definedName>
    <definedName name="justiz2jahr">'Anmeldeformular2024-1'!$S$68</definedName>
    <definedName name="justiz3jahr">'Anmeldeformular2024-1'!$V$68</definedName>
    <definedName name="justiz4jahr">'Anmeldeformular2024-1'!$W$68</definedName>
    <definedName name="justizges">'Anmeldeformular2024-1'!$M$68</definedName>
    <definedName name="KMU">'Anmeldeformular2024-1'!$F$57</definedName>
    <definedName name="kom1jahr">'Anmeldeformular2024-1'!$P$72</definedName>
    <definedName name="kom2jahr">'Anmeldeformular2024-1'!$S$72</definedName>
    <definedName name="kom3jahr">'Anmeldeformular2024-1'!$V$72</definedName>
    <definedName name="kom4jahr">'Anmeldeformular2024-1'!$Y$72</definedName>
    <definedName name="komges">'Anmeldeformular2024-1'!$M$72</definedName>
    <definedName name="Kontakte">'Anmeldeformular2024-1'!#REF!</definedName>
    <definedName name="Koop">'Anmeldeformular2024-1'!$B$136</definedName>
    <definedName name="Kost1jahr">'Anmeldeformular2024-1'!$P$62</definedName>
    <definedName name="Kost2jahr">'Anmeldeformular2024-1'!$S$62</definedName>
    <definedName name="Kost3jahr">'Anmeldeformular2024-1'!$V$62</definedName>
    <definedName name="kostges">'Anmeldeformular2024-1'!$M$62</definedName>
    <definedName name="Laufzeit">Auswahl!$B$30</definedName>
    <definedName name="LDKom">'Anmeldeformular2024-1'!$E$72</definedName>
    <definedName name="Ltganrede">'Anmeldeformular2024-1'!$B$18</definedName>
    <definedName name="ltgname">'Anmeldeformular2024-1'!$H$18</definedName>
    <definedName name="ltgtitel">'Anmeldeformular2024-1'!$D$18</definedName>
    <definedName name="ltgvorname">'Anmeldeformular2024-1'!$Q$18</definedName>
    <definedName name="mastd1jahr">'Anmeldeformular2024-1'!$P$64</definedName>
    <definedName name="mastd2jahr">'Anmeldeformular2024-1'!$S$64</definedName>
    <definedName name="mastd3jahr">'Anmeldeformular2024-1'!$V$64</definedName>
    <definedName name="mastdges">'Anmeldeformular2024-1'!$M$64</definedName>
    <definedName name="mb1jahr">'Anmeldeformular2024-1'!$P$65</definedName>
    <definedName name="mb2jahr">'Anmeldeformular2024-1'!$S$65</definedName>
    <definedName name="mb3jahr">'Anmeldeformular2024-1'!$V$65</definedName>
    <definedName name="mb4jahr">'Anmeldeformular2024-1'!$Y$77</definedName>
    <definedName name="mbges">'Anmeldeformular2024-1'!$M$65</definedName>
    <definedName name="Methode">'Anmeldeformular2024-1'!$B$137</definedName>
    <definedName name="mffki1jahr">'Anmeldeformular2024-1'!$P$66</definedName>
    <definedName name="mffki2jahr">'Anmeldeformular2024-1'!$S$66</definedName>
    <definedName name="mffki3jahr">'Anmeldeformular2024-1'!$V$66</definedName>
    <definedName name="mffkiges">'Anmeldeformular2024-1'!$M$66</definedName>
    <definedName name="Migrat">'Anmeldeformular2024-1'!$H$54</definedName>
    <definedName name="mkuem1jahr">'Anmeldeformular2024-1'!$P$70</definedName>
    <definedName name="mkuem2jahr">'Anmeldeformular2024-1'!$S$70</definedName>
    <definedName name="mkuem3jahr">'Anmeldeformular2024-1'!$V$70</definedName>
    <definedName name="mkuemges">'Anmeldeformular2024-1'!$M$70</definedName>
    <definedName name="mwg1jahr">'Anmeldeformular2024-1'!$P$67</definedName>
    <definedName name="mwg2jahr">'Anmeldeformular2024-1'!$S$67</definedName>
    <definedName name="mwg3jahr">'Anmeldeformular2024-1'!$V$67</definedName>
    <definedName name="mwgges">'Anmeldeformular2024-1'!$M$67</definedName>
    <definedName name="mwvlw1jahr">'Anmeldeformular2024-1'!$P$69</definedName>
    <definedName name="mwvlw2jahr">'Anmeldeformular2024-1'!$S$69</definedName>
    <definedName name="mwvlw3jahr">'Anmeldeformular2024-1'!$V$69</definedName>
    <definedName name="mwvlwges">'Anmeldeformular2024-1'!$M$69</definedName>
    <definedName name="Nachhaltigkeitauswahl">Auswahl!$C$17</definedName>
    <definedName name="neufass">Intern!$C$3</definedName>
    <definedName name="Nichtdiskriminierungsauswahl">Auswahl!$C$15</definedName>
    <definedName name="nrvorproj">'Anmeldeformular2024-1'!$W$35</definedName>
    <definedName name="Nummer">'Anmeldeformular2024-1'!#REF!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ersk">'Anmeldeformular2024-1'!$Z$75</definedName>
    <definedName name="PkostAG">'Anmeldeformular2024-1'!$E$76</definedName>
    <definedName name="Plstgansatzliste">FAnsatz!$A$1:$S$1</definedName>
    <definedName name="Plstgauswahlen">Plstg!$1:$1</definedName>
    <definedName name="Plstgauswahlgesamt">Plstg!$X$2:$X$6</definedName>
    <definedName name="Pnrvorgaenger">'Anmeldeformular2024-1'!$P$35</definedName>
    <definedName name="Prio2auswahl">Auswahl!$C$26</definedName>
    <definedName name="Prioauswahl">Auswahl!$C$25</definedName>
    <definedName name="Projektname">Namenliste!$B$195</definedName>
    <definedName name="Projnettokosten">'Anmeldeformular2024-1'!$Z$83</definedName>
    <definedName name="Pstruktur">'Anmeldeformular2024-1'!$B$127</definedName>
    <definedName name="Ptitel">'Anmeldeformular2024-1'!$B$32</definedName>
    <definedName name="Quersch">'Anmeldeformular2024-1'!$B$148</definedName>
    <definedName name="regBed">'Anmeldeformular2024-1'!$B$119</definedName>
    <definedName name="sgbII1jahr">'Anmeldeformular2024-1'!$P$73</definedName>
    <definedName name="sgbII2jahr">'Anmeldeformular2024-1'!$S$73</definedName>
    <definedName name="SgbIIges">'Anmeldeformular2024-1'!$M$73</definedName>
    <definedName name="SitZG">'Anmeldeformular2024-1'!$B$124</definedName>
    <definedName name="SK">'Anmeldeformular2024-1'!$Z$76</definedName>
    <definedName name="spenden1jahr">'Anmeldeformular2024-1'!$P$80</definedName>
    <definedName name="spenden2jahr">'Anmeldeformular2024-1'!$S$80</definedName>
    <definedName name="spenden3jahr">'Anmeldeformular2024-1'!$V$80</definedName>
    <definedName name="spendenges">'Anmeldeformular2024-1'!$M$80</definedName>
    <definedName name="SProjBeginn">Namenliste!$B$193</definedName>
    <definedName name="sstgoef1jahr">'Anmeldeformular2024-1'!$P$74</definedName>
    <definedName name="sstgoef2jahr">'Anmeldeformular2024-1'!$S$74</definedName>
    <definedName name="sstgoeff3jahr">'Anmeldeformular2024-1'!$V$74</definedName>
    <definedName name="sstgoefges">'Anmeldeformular2024-1'!$M$74</definedName>
    <definedName name="Temail">'Anmeldeformular2024-1'!$L$15</definedName>
    <definedName name="teurekanr">'Anmeldeformular2024-1'!$V$25</definedName>
    <definedName name="Tfax">'Anmeldeformular2024-1'!$G$15</definedName>
    <definedName name="Tname">'Anmeldeformular2024-1'!$B$11</definedName>
    <definedName name="TNanz">'Anmeldeformular2024-1'!$F$49</definedName>
    <definedName name="TNbes">'Anmeldeformular2024-1'!$F$56</definedName>
    <definedName name="TNerhöhterBetreu">'Anmeldeformular2024-1'!#REF!</definedName>
    <definedName name="TNgeb1jahr">'Anmeldeformular2024-1'!$P$78</definedName>
    <definedName name="tngeb2jahr">'Anmeldeformular2024-1'!$S$78</definedName>
    <definedName name="tngeb3jahr">'Anmeldeformular2024-1'!$V$78</definedName>
    <definedName name="TNgebges">'Anmeldeformular2024-1'!$M$78</definedName>
    <definedName name="TNK">'Anmeldeformular2024-1'!$Z$77</definedName>
    <definedName name="TNml">'Anmeldeformular2024-1'!$F$51</definedName>
    <definedName name="TNnichtbinär">'Anmeldeformular2024-1'!$F$52</definedName>
    <definedName name="TNpl">'Anmeldeformular2024-1'!$F$48</definedName>
    <definedName name="TNrlpauswahl">Auswahl!$C$4</definedName>
    <definedName name="TNu25j">'Anmeldeformular2024-1'!$F$52</definedName>
    <definedName name="TNue25">'Anmeldeformular2024-1'!$F$53</definedName>
    <definedName name="TNue45">'Anmeldeformular2024-1'!$F$54</definedName>
    <definedName name="Tnue55">'Anmeldeformular2024-1'!$F$55</definedName>
    <definedName name="TNwbl">'Anmeldeformular2024-1'!$F$50</definedName>
    <definedName name="Tort">'Anmeldeformular2024-1'!$P$13</definedName>
    <definedName name="Tplz">'Anmeldeformular2024-1'!$L$13</definedName>
    <definedName name="Transnationalauswahl">Auswahl!$C$16</definedName>
    <definedName name="Tstraße">'Anmeldeformular2024-1'!$B$13</definedName>
    <definedName name="Ttel">'Anmeldeformular2024-1'!$B$15</definedName>
    <definedName name="Ueregion">'Anmeldeformular2024-1'!$V$37</definedName>
    <definedName name="VGK">'Anmeldeformular2024-1'!$Z$78</definedName>
    <definedName name="Z_04F5F062_CD85_4BE7_B897_A8C5C601EF7B_.wvu.PrintArea" localSheetId="2" hidden="1">DokuBogen!$A$1:$AF$78</definedName>
    <definedName name="Z_04F5F062_CD85_4BE7_B897_A8C5C601EF7B_.wvu.Rows" localSheetId="0" hidden="1">'Anmeldeformular2024-1'!$455:$65550,'Anmeldeformular2024-1'!#REF!,'Anmeldeformular2024-1'!#REF!,'Anmeldeformular2024-1'!$208:$208</definedName>
    <definedName name="Z_04F5F062_CD85_4BE7_B897_A8C5C601EF7B_.wvu.Rows" localSheetId="2" hidden="1">DokuBogen!$78:$78</definedName>
    <definedName name="Z_EEA7A97B_E2BF_43AD_B211_D284BEE221A1_.wvu.PrintArea" localSheetId="2" hidden="1">DokuBogen!$A$1:$AF$78</definedName>
    <definedName name="Z_EEA7A97B_E2BF_43AD_B211_D284BEE221A1_.wvu.Rows" localSheetId="0" hidden="1">'Anmeldeformular2024-1'!$455:$65550,'Anmeldeformular2024-1'!#REF!,'Anmeldeformular2024-1'!#REF!,'Anmeldeformular2024-1'!$208:$208</definedName>
    <definedName name="Z_EEA7A97B_E2BF_43AD_B211_D284BEE221A1_.wvu.Rows" localSheetId="2" hidden="1">DokuBogen!$78:$78</definedName>
    <definedName name="ZG">Auswahl!$D$9</definedName>
    <definedName name="ZGauswahl">Auswahl!$C$9</definedName>
    <definedName name="ZGliste">ZG!$A$1:$A$4</definedName>
    <definedName name="zielvorg">'Anmeldeformular2024-1'!$B$123</definedName>
    <definedName name="zuschussag1jahr">'Anmeldeformular2024-1'!$P$76</definedName>
    <definedName name="zuschussag2jahr">'Anmeldeformular2024-1'!$S$76</definedName>
    <definedName name="zuschussag3jahr">'Anmeldeformular2024-1'!$V$76</definedName>
    <definedName name="ZuschussAGges">'Anmeldeformular2024-1'!$M$76</definedName>
  </definedNames>
  <calcPr calcId="191029"/>
  <customWorkbookViews>
    <customWorkbookView name="FrankGorstelle - Persönliche Ansicht" guid="{04F5F062-CD85-4BE7-B897-A8C5C601EF7B}" mergeInterval="0" personalView="1" maximized="1" windowWidth="1666" windowHeight="761" activeSheetId="1"/>
    <customWorkbookView name="Silvia.Hintz - Persönliche Ansicht" guid="{EEA7A97B-E2BF-43AD-B211-D284BEE221A1}" mergeInterval="0" personalView="1" maximized="1" windowWidth="1276" windowHeight="8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3" i="6" a="1"/>
  <c r="B23" i="6" s="1"/>
  <c r="D40" i="6" l="1"/>
  <c r="D42" i="6" l="1" a="1"/>
  <c r="D42" i="6" s="1"/>
  <c r="D17" i="4"/>
  <c r="D16" i="4"/>
  <c r="D15" i="4"/>
  <c r="D43" i="6"/>
  <c r="Z67" i="1" l="1"/>
  <c r="M66" i="1"/>
  <c r="D22" i="6" l="1"/>
  <c r="H21" i="2"/>
  <c r="P62" i="1"/>
  <c r="M72" i="1"/>
  <c r="B108" i="1" s="1"/>
  <c r="U73" i="2"/>
  <c r="P73" i="2"/>
  <c r="K73" i="2"/>
  <c r="K72" i="2"/>
  <c r="P72" i="2"/>
  <c r="U72" i="2"/>
  <c r="U70" i="2"/>
  <c r="B6" i="6" l="1"/>
  <c r="B5" i="6"/>
  <c r="H14" i="2"/>
  <c r="P3" i="7"/>
  <c r="D44" i="6" l="1"/>
  <c r="D34" i="6"/>
  <c r="D33" i="6"/>
  <c r="D32" i="6"/>
  <c r="D31" i="6"/>
  <c r="D30" i="6"/>
  <c r="U69" i="2" l="1"/>
  <c r="U71" i="2"/>
  <c r="U68" i="2"/>
  <c r="U74" i="2" l="1"/>
  <c r="AA20" i="1"/>
  <c r="AA21" i="1"/>
  <c r="AA17" i="1"/>
  <c r="M67" i="1"/>
  <c r="D46" i="6"/>
  <c r="D45" i="6"/>
  <c r="AA12" i="1"/>
  <c r="M70" i="1"/>
  <c r="P71" i="2"/>
  <c r="K71" i="2"/>
  <c r="M68" i="1"/>
  <c r="M69" i="1"/>
  <c r="AA11" i="1"/>
  <c r="AA18" i="1"/>
  <c r="B56" i="6"/>
  <c r="M64" i="1"/>
  <c r="B100" i="1" s="1"/>
  <c r="M65" i="1"/>
  <c r="B101" i="1" s="1"/>
  <c r="M71" i="1"/>
  <c r="M73" i="1"/>
  <c r="B109" i="1" s="1"/>
  <c r="M74" i="1"/>
  <c r="B64" i="6" s="1"/>
  <c r="M75" i="1"/>
  <c r="M78" i="1"/>
  <c r="M76" i="1"/>
  <c r="B111" i="1" s="1"/>
  <c r="M80" i="1"/>
  <c r="B70" i="6" s="1"/>
  <c r="M79" i="1"/>
  <c r="M81" i="1"/>
  <c r="W64" i="2" s="1"/>
  <c r="M77" i="1"/>
  <c r="AD66" i="2" s="1"/>
  <c r="M63" i="1"/>
  <c r="H6" i="2"/>
  <c r="W12" i="2"/>
  <c r="F5" i="18"/>
  <c r="D5" i="18"/>
  <c r="K69" i="2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P69" i="2"/>
  <c r="W10" i="2"/>
  <c r="AD10" i="2"/>
  <c r="P70" i="2"/>
  <c r="K70" i="2"/>
  <c r="P68" i="2"/>
  <c r="X3" i="2"/>
  <c r="U3" i="2"/>
  <c r="AC37" i="2"/>
  <c r="J35" i="2"/>
  <c r="E8" i="4"/>
  <c r="A4" i="14" s="1"/>
  <c r="M6" i="18"/>
  <c r="A2" i="16"/>
  <c r="A6" i="16"/>
  <c r="A7" i="16"/>
  <c r="D2" i="4"/>
  <c r="D3" i="4"/>
  <c r="D4" i="4"/>
  <c r="E6" i="4"/>
  <c r="D20" i="4"/>
  <c r="D21" i="4"/>
  <c r="B30" i="4"/>
  <c r="B4" i="6"/>
  <c r="D4" i="6"/>
  <c r="D5" i="6"/>
  <c r="D6" i="6"/>
  <c r="B7" i="6"/>
  <c r="B8" i="6"/>
  <c r="D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B22" i="6"/>
  <c r="C60" i="6"/>
  <c r="C61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B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A13" i="18"/>
  <c r="F13" i="18"/>
  <c r="G13" i="18"/>
  <c r="G16" i="18" s="1"/>
  <c r="H13" i="18"/>
  <c r="J13" i="18"/>
  <c r="J16" i="18" s="1"/>
  <c r="AD57" i="2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H13" i="2"/>
  <c r="T21" i="2"/>
  <c r="AC42" i="2"/>
  <c r="D45" i="2"/>
  <c r="A13" i="14"/>
  <c r="AE1" i="2"/>
  <c r="A2" i="9" s="1"/>
  <c r="V45" i="2"/>
  <c r="I20" i="2"/>
  <c r="AC4" i="2"/>
  <c r="B2" i="9" s="1"/>
  <c r="B16" i="18"/>
  <c r="AD52" i="2" s="1"/>
  <c r="AM2" i="9"/>
  <c r="AK2" i="9"/>
  <c r="D7" i="4"/>
  <c r="B66" i="6" l="1"/>
  <c r="B31" i="6"/>
  <c r="B99" i="1"/>
  <c r="AY2" i="9"/>
  <c r="B44" i="6"/>
  <c r="B104" i="1"/>
  <c r="B34" i="6"/>
  <c r="B33" i="6"/>
  <c r="B32" i="6"/>
  <c r="E70" i="2"/>
  <c r="H12" i="2"/>
  <c r="B54" i="6"/>
  <c r="B107" i="1"/>
  <c r="B50" i="6"/>
  <c r="B106" i="1"/>
  <c r="B48" i="6"/>
  <c r="B105" i="1"/>
  <c r="B103" i="1"/>
  <c r="E73" i="2"/>
  <c r="B38" i="6"/>
  <c r="B102" i="1"/>
  <c r="E72" i="2"/>
  <c r="O8" i="18"/>
  <c r="H16" i="18"/>
  <c r="C16" i="18"/>
  <c r="AD53" i="2" s="1"/>
  <c r="D8" i="18"/>
  <c r="U52" i="2" s="1"/>
  <c r="M8" i="18"/>
  <c r="B69" i="6"/>
  <c r="AV2" i="9"/>
  <c r="AW2" i="9"/>
  <c r="B37" i="6"/>
  <c r="E16" i="18"/>
  <c r="AD55" i="2" s="1"/>
  <c r="J8" i="18"/>
  <c r="U55" i="2" s="1"/>
  <c r="F8" i="18"/>
  <c r="U53" i="2" s="1"/>
  <c r="B58" i="6"/>
  <c r="D16" i="18"/>
  <c r="AD54" i="2" s="1"/>
  <c r="H8" i="18"/>
  <c r="U54" i="2" s="1"/>
  <c r="F16" i="18"/>
  <c r="A16" i="18"/>
  <c r="AD51" i="2" s="1"/>
  <c r="B8" i="18"/>
  <c r="U51" i="2" s="1"/>
  <c r="AX2" i="9"/>
  <c r="B53" i="6"/>
  <c r="G66" i="2"/>
  <c r="A7" i="14"/>
  <c r="A5" i="14"/>
  <c r="A3" i="14"/>
  <c r="A2" i="14"/>
  <c r="A6" i="14"/>
  <c r="AL2" i="9"/>
  <c r="E69" i="2"/>
  <c r="E71" i="2"/>
  <c r="B67" i="6"/>
  <c r="Q66" i="2"/>
  <c r="P74" i="2"/>
  <c r="B40" i="6"/>
  <c r="B112" i="1"/>
  <c r="B55" i="6"/>
  <c r="B60" i="6"/>
  <c r="B47" i="6"/>
  <c r="B46" i="6"/>
  <c r="B43" i="6"/>
  <c r="K68" i="2"/>
  <c r="K74" i="2" s="1"/>
  <c r="B39" i="6"/>
  <c r="B49" i="6"/>
  <c r="B35" i="6"/>
  <c r="B45" i="6"/>
  <c r="B68" i="6"/>
  <c r="B57" i="6"/>
  <c r="B29" i="6"/>
  <c r="B36" i="6"/>
  <c r="M62" i="1"/>
  <c r="AC72" i="2" s="1"/>
  <c r="B110" i="1"/>
  <c r="B30" i="6"/>
  <c r="B42" i="6"/>
  <c r="B51" i="6"/>
  <c r="B62" i="6"/>
  <c r="B63" i="6"/>
  <c r="B27" i="6"/>
  <c r="B85" i="1"/>
  <c r="B41" i="6"/>
  <c r="B52" i="6"/>
  <c r="B65" i="6"/>
  <c r="AD64" i="2"/>
  <c r="G64" i="2"/>
  <c r="R76" i="2"/>
  <c r="Q8" i="18"/>
  <c r="B61" i="6"/>
  <c r="B59" i="6"/>
  <c r="W66" i="2"/>
  <c r="Q64" i="2"/>
  <c r="D8" i="4"/>
  <c r="AC71" i="2" l="1"/>
  <c r="AC70" i="2"/>
  <c r="AC73" i="2"/>
  <c r="AD63" i="2"/>
  <c r="E74" i="2"/>
  <c r="AC74" i="2" s="1"/>
  <c r="AD56" i="2"/>
  <c r="AD58" i="2" s="1"/>
  <c r="AC34" i="2" s="1"/>
  <c r="AC69" i="2"/>
  <c r="R77" i="2"/>
  <c r="W84" i="1"/>
  <c r="Q63" i="2"/>
  <c r="E68" i="2"/>
  <c r="L83" i="1"/>
  <c r="H76" i="2"/>
  <c r="B26" i="6"/>
  <c r="G63" i="2"/>
  <c r="AJ2" i="9"/>
  <c r="W63" i="2"/>
  <c r="L84" i="1"/>
  <c r="O84" i="1" l="1"/>
  <c r="AD65" i="2"/>
  <c r="Q65" i="2"/>
  <c r="G65" i="2"/>
  <c r="W65" i="2"/>
  <c r="M76" i="2"/>
  <c r="M77" i="2"/>
  <c r="E16" i="2" l="1"/>
  <c r="D13" i="6"/>
  <c r="AJ3" i="7"/>
  <c r="BU3" i="7"/>
  <c r="AO3" i="7"/>
  <c r="CK3" i="7"/>
  <c r="CZ3" i="7"/>
  <c r="CO3" i="7"/>
  <c r="M3" i="7"/>
  <c r="AM3" i="7"/>
  <c r="D32" i="4"/>
  <c r="BB3" i="7"/>
  <c r="D28" i="4"/>
  <c r="BF3" i="7"/>
  <c r="DK3" i="7"/>
  <c r="Z3" i="7"/>
  <c r="AD3" i="7"/>
  <c r="DT3" i="7"/>
  <c r="BV3" i="7"/>
  <c r="EI3" i="7"/>
  <c r="DF3" i="7"/>
  <c r="DU3" i="7"/>
  <c r="CU3" i="7"/>
  <c r="Y3" i="7"/>
  <c r="T3" i="7"/>
  <c r="BW3" i="7"/>
  <c r="DJ3" i="7"/>
  <c r="AQ3" i="7"/>
  <c r="D5" i="4"/>
  <c r="AW3" i="7"/>
  <c r="DD3" i="7"/>
  <c r="X3" i="7"/>
  <c r="DP3" i="7"/>
  <c r="AC3" i="7"/>
  <c r="U3" i="7"/>
  <c r="W3" i="7"/>
  <c r="DX3" i="7"/>
  <c r="L3" i="7"/>
  <c r="V3" i="7"/>
  <c r="CV3" i="7"/>
  <c r="BP3" i="7"/>
  <c r="K3" i="7"/>
  <c r="CA3" i="7"/>
  <c r="BR3" i="7"/>
  <c r="D33" i="4"/>
  <c r="BQ3" i="7"/>
  <c r="N3" i="7"/>
  <c r="CF3" i="7"/>
  <c r="D9" i="4"/>
  <c r="DZ3" i="7"/>
  <c r="BL3" i="7"/>
  <c r="AB3" i="7"/>
  <c r="D34" i="4"/>
  <c r="D6" i="4"/>
  <c r="AS3" i="7"/>
  <c r="BA3" i="7"/>
  <c r="AL3" i="7"/>
  <c r="AE3" i="7"/>
  <c r="AK3" i="7"/>
  <c r="EN3" i="7"/>
  <c r="DN3" i="7"/>
  <c r="BC3" i="7"/>
  <c r="R3" i="7"/>
  <c r="ED3" i="7"/>
  <c r="AI3" i="7"/>
  <c r="CJ3" i="7"/>
  <c r="BH3" i="7"/>
  <c r="DI3" i="7"/>
  <c r="DY3" i="7"/>
  <c r="E5" i="4"/>
  <c r="AV3" i="7"/>
  <c r="BK3" i="7"/>
  <c r="CY3" i="7"/>
  <c r="CL3" i="7"/>
  <c r="EE3" i="7"/>
  <c r="BG3" i="7"/>
  <c r="EC3" i="7"/>
  <c r="DO3" i="7"/>
  <c r="EM3" i="7"/>
  <c r="BM3" i="7"/>
  <c r="CE3" i="7"/>
  <c r="Q3" i="7"/>
  <c r="DA3" i="7"/>
  <c r="DE3" i="7"/>
  <c r="AX3" i="7"/>
  <c r="CP3" i="7"/>
  <c r="AA3" i="7"/>
  <c r="BZ3" i="7"/>
  <c r="EH3" i="7"/>
  <c r="EO3" i="7"/>
  <c r="J3" i="7"/>
  <c r="CG3" i="7"/>
  <c r="EJ3" i="7"/>
  <c r="DS3" i="7"/>
  <c r="CB3" i="7"/>
  <c r="CQ3" i="7"/>
  <c r="S3" i="7"/>
  <c r="CT3" i="7"/>
  <c r="AR3" i="7"/>
  <c r="O3" i="7"/>
  <c r="V37" i="1" l="1"/>
  <c r="W11" i="2"/>
  <c r="L47" i="2"/>
  <c r="U16" i="2"/>
  <c r="U15" i="2"/>
  <c r="D14" i="6"/>
  <c r="H11" i="2"/>
  <c r="U38" i="1"/>
  <c r="AG3" i="7"/>
  <c r="AF3" i="7"/>
  <c r="AH3" i="7"/>
  <c r="AN3" i="7"/>
  <c r="AP3" i="7"/>
  <c r="P14" i="2" l="1"/>
  <c r="K8" i="2"/>
  <c r="A7" i="21" l="1"/>
  <c r="A6" i="21"/>
  <c r="A4" i="21"/>
  <c r="A5" i="21"/>
  <c r="A2" i="21"/>
  <c r="A3" i="21"/>
  <c r="D41" i="6" l="1"/>
  <c r="D14" i="4" a="1"/>
  <c r="D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V25" authorId="0" shapeId="0" xr:uid="{AA4FB2E6-E82B-4EF2-ABA3-C4E28E7A83D8}">
      <text>
        <r>
          <rPr>
            <b/>
            <sz val="9"/>
            <color indexed="81"/>
            <rFont val="Segoe UI"/>
            <family val="2"/>
          </rPr>
          <t>Wenn Sie bereits Projekte im ESF+ durchführen, geben Sie bitte hier Ihre Begünstigtennummer aus EurekaRLP Plus an!</t>
        </r>
      </text>
    </comment>
    <comment ref="B28" authorId="0" shapeId="0" xr:uid="{D48AED67-29F0-4334-AD28-0AD43BED0BB6}">
      <text>
        <r>
          <rPr>
            <sz val="9"/>
            <color indexed="81"/>
            <rFont val="Arial"/>
            <family val="2"/>
          </rPr>
          <t xml:space="preserve">Die Beteiligung an ESF+-Anmeldeverfahren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5.1., Seite 10. </t>
        </r>
      </text>
    </comment>
    <comment ref="Z64" authorId="0" shapeId="0" xr:uid="{F38F9C18-CC35-4085-92F5-92C61BB66221}">
      <text>
        <r>
          <rPr>
            <b/>
            <sz val="9"/>
            <color indexed="81"/>
            <rFont val="Segoe UI"/>
            <family val="2"/>
          </rPr>
          <t xml:space="preserve">Die Angaben im Kostenplan sind verpflichtend! </t>
        </r>
      </text>
    </comment>
    <comment ref="Z66" authorId="0" shapeId="0" xr:uid="{1AAA8749-B1FF-457C-A8D2-696DEC2501DF}">
      <text>
        <r>
          <rPr>
            <sz val="9"/>
            <color indexed="81"/>
            <rFont val="Segoe UI"/>
            <family val="2"/>
          </rPr>
          <t>Bitte beachten Sie, dass Verwaltungskosten nur bis zur Höhe von 15% der förderfähigen Personalkosten ansetzbar sind.</t>
        </r>
      </text>
    </comment>
    <comment ref="A89" authorId="0" shapeId="0" xr:uid="{53F9CA77-C9F0-430E-AC37-32B37FB5FCD5}">
      <text>
        <r>
          <rPr>
            <b/>
            <sz val="9"/>
            <color indexed="81"/>
            <rFont val="Segoe UI"/>
            <family val="2"/>
          </rPr>
          <t>Personalstellen mit der selben Funktion bitte in einer Zeile zusammenfassen.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<sst xmlns="http://schemas.openxmlformats.org/spreadsheetml/2006/main" count="1656" uniqueCount="1000">
  <si>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</si>
  <si>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</si>
  <si>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</si>
  <si>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</si>
  <si>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</si>
  <si>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</si>
  <si>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</si>
  <si>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</si>
  <si>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</si>
  <si>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</si>
  <si>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</si>
  <si>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</si>
  <si>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</si>
  <si>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</si>
  <si>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</si>
  <si>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</si>
  <si>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</si>
  <si>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</si>
  <si>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</si>
  <si>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</si>
  <si>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</si>
  <si>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</si>
  <si>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</si>
  <si>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</si>
  <si>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</si>
  <si>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</si>
  <si>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</si>
  <si>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</si>
  <si>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</si>
  <si>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</si>
  <si>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</si>
  <si>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</si>
  <si>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</si>
  <si>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</si>
  <si>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</si>
  <si>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</si>
  <si>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</si>
  <si>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</si>
  <si>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</si>
  <si>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</si>
  <si>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</si>
  <si>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</si>
  <si>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</si>
  <si>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</si>
  <si>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</si>
  <si>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</si>
  <si>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</si>
  <si>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</si>
  <si>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</si>
  <si>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</si>
  <si>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</si>
  <si>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</si>
  <si>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</si>
  <si>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</si>
  <si>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</si>
  <si>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</si>
  <si>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</si>
  <si>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</si>
  <si>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</si>
  <si>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Bitburg-Prüm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</si>
  <si>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</si>
  <si>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</si>
  <si>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</si>
  <si>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</si>
  <si>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</si>
  <si>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</si>
  <si>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</si>
  <si>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</si>
  <si>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</si>
  <si>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</si>
  <si>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</si>
  <si>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</si>
  <si>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</si>
  <si>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</si>
  <si>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</si>
  <si>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</si>
  <si>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</si>
  <si>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</si>
  <si>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</si>
  <si>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</si>
  <si>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</si>
  <si>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</si>
  <si>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Donnersbergkreis</t>
  </si>
  <si>
    <t>Lkr. Südliche Weinstraße</t>
  </si>
  <si>
    <t>Lkr. Westerwaldkreis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</si>
  <si>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</si>
  <si>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</si>
  <si>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</si>
  <si>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</si>
  <si>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</si>
  <si>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</si>
  <si>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</si>
  <si>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</si>
  <si>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</si>
  <si>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</si>
  <si>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</si>
  <si>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</si>
  <si>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</si>
  <si>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</si>
  <si>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</si>
  <si>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</si>
  <si>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</si>
  <si>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</si>
  <si>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</si>
  <si>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</si>
  <si>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</si>
  <si>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</si>
  <si>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</si>
  <si>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</si>
  <si>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</si>
  <si>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</si>
  <si>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</si>
  <si>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</si>
  <si>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</si>
  <si>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</si>
  <si>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</si>
  <si>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</si>
  <si>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</si>
  <si>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</si>
  <si>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</si>
  <si>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</si>
  <si>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</si>
  <si>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</si>
  <si>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</si>
  <si>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</si>
  <si>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</si>
  <si>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</si>
  <si>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</si>
  <si>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</si>
  <si>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</si>
  <si>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</si>
  <si>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</si>
  <si>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Träger: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</si>
  <si>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</si>
  <si>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</si>
  <si>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</si>
  <si>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</si>
  <si>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</si>
  <si>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</si>
  <si>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</si>
  <si>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</si>
  <si>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</si>
  <si>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</si>
  <si>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</si>
  <si>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</si>
  <si>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</si>
  <si>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</si>
  <si>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</si>
  <si>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</si>
  <si>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</si>
  <si>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</si>
  <si>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</si>
  <si>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</si>
  <si>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</si>
  <si>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</si>
  <si>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</si>
  <si>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</si>
  <si>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</si>
  <si>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je TN</t>
  </si>
  <si>
    <t>je TN/M</t>
  </si>
  <si>
    <t>ja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</si>
  <si>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</si>
  <si>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</si>
  <si>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</si>
  <si>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</si>
  <si>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</si>
  <si>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</si>
  <si>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</si>
  <si>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</si>
  <si>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</si>
  <si>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</si>
  <si>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</si>
  <si>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</si>
  <si>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</si>
  <si>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</si>
  <si>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</si>
  <si>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</si>
  <si>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</si>
  <si>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</si>
  <si>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</si>
  <si>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</si>
  <si>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</si>
  <si>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</si>
  <si>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</si>
  <si>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</si>
  <si>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</si>
  <si>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</si>
  <si>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</si>
  <si>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Kontakte/ Kooperationen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</si>
  <si>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</si>
  <si>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</si>
  <si>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</si>
  <si>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</si>
  <si>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</si>
  <si>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</si>
  <si>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</si>
  <si>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</si>
  <si>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</si>
  <si>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</si>
  <si>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</si>
  <si>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</si>
  <si>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</si>
  <si>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</si>
  <si>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tel.</t>
  </si>
  <si>
    <t>Plätze/gesamt</t>
  </si>
  <si>
    <t>Bundesagentur für Arbeit</t>
  </si>
  <si>
    <t>sonstige öffentliche Mittel</t>
  </si>
  <si>
    <t>Eigenmittel Träger</t>
  </si>
  <si>
    <t>Teilnehmendengebühren</t>
  </si>
  <si>
    <t>Institution</t>
  </si>
  <si>
    <t>Erfasser</t>
  </si>
  <si>
    <t>AnmeldeNummer</t>
  </si>
  <si>
    <t>EurekaRLPnummer</t>
  </si>
  <si>
    <t>Berater</t>
  </si>
  <si>
    <t>GeK</t>
  </si>
  <si>
    <t>Migrat</t>
  </si>
  <si>
    <t>ESF1Jahr</t>
  </si>
  <si>
    <t>Esf2Jahr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</si>
  <si>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</si>
  <si>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</si>
  <si>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</si>
  <si>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</si>
  <si>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</si>
  <si>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</si>
  <si>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</si>
  <si>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</si>
  <si>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</si>
  <si>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</si>
  <si>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</si>
  <si>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</si>
  <si>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</si>
  <si>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</si>
  <si>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</si>
  <si>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</si>
  <si>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</si>
  <si>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</si>
  <si>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</si>
  <si>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</si>
  <si>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</si>
  <si>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</si>
  <si>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</si>
  <si>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</si>
  <si>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</si>
  <si>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</si>
  <si>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</si>
  <si>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</si>
  <si>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</si>
  <si>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</si>
  <si>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</si>
  <si>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</si>
  <si>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</si>
  <si>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</si>
  <si>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</si>
  <si>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</si>
  <si>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</si>
  <si>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</si>
  <si>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</si>
  <si>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</si>
  <si>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</si>
  <si>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</si>
  <si>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</si>
  <si>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</si>
  <si>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</si>
  <si>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</si>
  <si>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</si>
  <si>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</si>
  <si>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</si>
  <si>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</si>
  <si>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</si>
  <si>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</si>
  <si>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</si>
  <si>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</si>
  <si>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</si>
  <si>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</si>
  <si>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</si>
  <si>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</si>
  <si>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</si>
  <si>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</si>
  <si>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</si>
  <si>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</si>
  <si>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</si>
  <si>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</si>
  <si>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</si>
  <si>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</si>
  <si>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</si>
  <si>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</si>
  <si>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</si>
  <si>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</si>
  <si>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</si>
  <si>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</si>
  <si>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</si>
  <si>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</si>
  <si>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</si>
  <si>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</si>
  <si>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</si>
  <si>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</si>
  <si>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</si>
  <si>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</si>
  <si>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</si>
  <si>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</si>
  <si>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</si>
  <si>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</si>
  <si>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</si>
  <si>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</si>
  <si>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</si>
  <si>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</si>
  <si>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</si>
  <si>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</si>
  <si>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</si>
  <si>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</si>
  <si>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</si>
  <si>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</si>
  <si>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</si>
  <si>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</si>
  <si>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</si>
  <si>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</si>
  <si>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</si>
  <si>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</si>
  <si>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</si>
  <si>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</si>
  <si>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</si>
  <si>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</si>
  <si>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</si>
  <si>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</si>
  <si>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</si>
  <si>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</si>
  <si>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</si>
  <si>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</si>
  <si>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</si>
  <si>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</si>
  <si>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</si>
  <si>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</si>
  <si>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</si>
  <si>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</si>
  <si>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</si>
  <si>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</si>
  <si>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</si>
  <si>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</si>
  <si>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</si>
  <si>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</si>
  <si>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</si>
  <si>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</si>
  <si>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</si>
  <si>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</si>
  <si>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</si>
  <si>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</si>
  <si>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</si>
  <si>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</si>
  <si>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</si>
  <si>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</si>
  <si>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Chancengleichheitauswahl</t>
  </si>
  <si>
    <t>Nachhaltigoekoloauswahl</t>
  </si>
  <si>
    <t>Transnationalauswahl</t>
  </si>
  <si>
    <t>Nachhaltigoekoauswahl</t>
  </si>
  <si>
    <t>Kostges</t>
  </si>
  <si>
    <t>Kost1Jahr</t>
  </si>
  <si>
    <t>Kost2Jahr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</si>
  <si>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</si>
  <si>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</si>
  <si>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</si>
  <si>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</si>
  <si>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</si>
  <si>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</si>
  <si>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</si>
  <si>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</si>
  <si>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</si>
  <si>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</si>
  <si>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</si>
  <si>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</si>
  <si>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</si>
  <si>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</si>
  <si>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</si>
  <si>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</si>
  <si>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</si>
  <si>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</si>
  <si>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</si>
  <si>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</si>
  <si>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</si>
  <si>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</si>
  <si>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</si>
  <si>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</si>
  <si>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</si>
  <si>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</si>
  <si>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</si>
  <si>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</si>
  <si>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</si>
  <si>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</si>
  <si>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</si>
  <si>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</si>
  <si>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</si>
  <si>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</si>
  <si>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</si>
  <si>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</si>
  <si>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</si>
  <si>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</si>
  <si>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</si>
  <si>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</si>
  <si>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</si>
  <si>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</si>
  <si>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</si>
  <si>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</si>
  <si>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</si>
  <si>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</si>
  <si>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</si>
  <si>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</si>
  <si>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</si>
  <si>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</si>
  <si>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</si>
  <si>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</si>
  <si>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</si>
  <si>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</si>
  <si>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</si>
  <si>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</si>
  <si>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</si>
  <si>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</si>
  <si>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</si>
  <si>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</si>
  <si>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</si>
  <si>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</si>
  <si>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</si>
  <si>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</si>
  <si>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</si>
  <si>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</si>
  <si>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</si>
  <si>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</si>
  <si>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</si>
  <si>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</si>
  <si>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</si>
  <si>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</si>
  <si>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</si>
  <si>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</si>
  <si>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</si>
  <si>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</si>
  <si>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</si>
  <si>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</si>
  <si>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</si>
  <si>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</si>
  <si>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</si>
  <si>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</si>
  <si>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</si>
  <si>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</si>
  <si>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</si>
  <si>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</si>
  <si>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</si>
  <si>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</si>
  <si>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</si>
  <si>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</si>
  <si>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</si>
  <si>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</si>
  <si>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</si>
  <si>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</si>
  <si>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</si>
  <si>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</si>
  <si>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</si>
  <si>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</si>
  <si>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</si>
  <si>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</si>
  <si>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</si>
  <si>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</si>
  <si>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</si>
  <si>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</si>
  <si>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</si>
  <si>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</si>
  <si>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</si>
  <si>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</si>
  <si>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</si>
  <si>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</si>
  <si>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</si>
  <si>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</si>
  <si>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</si>
  <si>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</si>
  <si>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</si>
  <si>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</si>
  <si>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</si>
  <si>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</si>
  <si>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</si>
  <si>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</si>
  <si>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</si>
  <si>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</si>
  <si>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</si>
  <si>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</si>
  <si>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</si>
  <si>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</si>
  <si>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</si>
  <si>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</si>
  <si>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</si>
  <si>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</si>
  <si>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</si>
  <si>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</si>
  <si>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</si>
  <si>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</si>
  <si>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</si>
  <si>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</si>
  <si>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</si>
  <si>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</si>
  <si>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</si>
  <si>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</si>
  <si>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</si>
  <si>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</si>
  <si>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</si>
  <si>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</si>
  <si>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</si>
  <si>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</si>
  <si>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</si>
  <si>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</si>
  <si>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</si>
  <si>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</si>
  <si>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</si>
  <si>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</si>
  <si>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</si>
  <si>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</si>
  <si>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</si>
  <si>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</si>
  <si>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</si>
  <si>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</si>
  <si>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</si>
  <si>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</si>
  <si>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</si>
  <si>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</si>
  <si>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</si>
  <si>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</si>
  <si>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</si>
  <si>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</si>
  <si>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</si>
  <si>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</si>
  <si>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</si>
  <si>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</si>
  <si>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</si>
  <si>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</si>
  <si>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</si>
  <si>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</si>
  <si>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</si>
  <si>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</si>
  <si>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</si>
  <si>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</si>
  <si>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</si>
  <si>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</si>
  <si>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</si>
  <si>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</si>
  <si>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</si>
  <si>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</si>
  <si>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</si>
  <si>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</si>
  <si>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</si>
  <si>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</si>
  <si>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</si>
  <si>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</si>
  <si>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</si>
  <si>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</si>
  <si>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</si>
  <si>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</si>
  <si>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</si>
  <si>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</si>
  <si>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</si>
  <si>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</si>
  <si>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</si>
  <si>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</si>
  <si>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</si>
  <si>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</si>
  <si>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</si>
  <si>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</si>
  <si>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</si>
  <si>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</si>
  <si>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</si>
  <si>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</si>
  <si>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</si>
  <si>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</si>
  <si>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</si>
  <si>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</si>
  <si>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</si>
  <si>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</si>
  <si>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</si>
  <si>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</si>
  <si>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</si>
  <si>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</si>
  <si>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</si>
  <si>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</si>
  <si>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</si>
  <si>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</si>
  <si>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</si>
  <si>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</si>
  <si>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</si>
  <si>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</si>
  <si>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</si>
  <si>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</si>
  <si>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</si>
  <si>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</si>
  <si>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</si>
  <si>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</si>
  <si>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</si>
  <si>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</si>
  <si>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</si>
  <si>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</si>
  <si>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</si>
  <si>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</si>
  <si>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</si>
  <si>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Bundesagentur für Arbeit-Ansprechpartner</t>
  </si>
  <si>
    <t>Bundesagentur für Arbeit-Telefon</t>
  </si>
  <si>
    <t>Spenden-Institution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</si>
  <si>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</si>
  <si>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</si>
  <si>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</si>
  <si>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</si>
  <si>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</si>
  <si>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</si>
  <si>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</si>
  <si>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</si>
  <si>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</si>
  <si>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</si>
  <si>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Betreuung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</si>
  <si>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</si>
  <si>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</si>
  <si>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</si>
  <si>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</si>
  <si>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</si>
  <si>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</si>
  <si>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</si>
  <si>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</si>
  <si>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Modul "Europa und Ich"</t>
  </si>
  <si>
    <t>Vermittlung von Sozialkomp.</t>
  </si>
  <si>
    <t>Projektelemente:</t>
  </si>
  <si>
    <t>Qualifizierungsbausteine</t>
  </si>
  <si>
    <t>Frau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</si>
  <si>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</si>
  <si>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</si>
  <si>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</si>
  <si>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</si>
  <si>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</si>
  <si>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</si>
  <si>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</si>
  <si>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</si>
  <si>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</si>
  <si>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</si>
  <si>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</si>
  <si>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</si>
  <si>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</si>
  <si>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</si>
  <si>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</si>
  <si>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</si>
  <si>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</si>
  <si>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</si>
  <si>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</si>
  <si>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</si>
  <si>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</si>
  <si>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</si>
  <si>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</si>
  <si>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</si>
  <si>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</si>
  <si>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</si>
  <si>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</si>
  <si>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</si>
  <si>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</si>
  <si>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</si>
  <si>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</si>
  <si>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</si>
  <si>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</si>
  <si>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</si>
  <si>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</si>
  <si>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</si>
  <si>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</si>
  <si>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</si>
  <si>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</si>
  <si>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</si>
  <si>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</si>
  <si>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</si>
  <si>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</si>
  <si>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</si>
  <si>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</si>
  <si>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</si>
  <si>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</si>
  <si>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</si>
  <si>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</si>
  <si>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</si>
  <si>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</si>
  <si>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</si>
  <si>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F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</si>
  <si>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</si>
  <si>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</si>
  <si>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</si>
  <si>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</si>
  <si>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</si>
  <si>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</si>
  <si>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</si>
  <si>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</si>
  <si>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</si>
  <si>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</si>
  <si>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</si>
  <si>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</si>
  <si>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</si>
  <si>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AktivKofi</t>
  </si>
  <si>
    <t>Aktive Kofinanzierung</t>
  </si>
  <si>
    <t>Gesamtkosten abzgl. Passive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</si>
  <si>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</si>
  <si>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</si>
  <si>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</si>
  <si>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</si>
  <si>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</si>
  <si>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</si>
  <si>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</si>
  <si>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</si>
  <si>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</si>
  <si>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</si>
  <si>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</si>
  <si>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</si>
  <si>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</si>
  <si>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Maßnahme</t>
  </si>
  <si>
    <t>Erläuterung für Entscheidung</t>
  </si>
  <si>
    <t>Niedrigschwellige Qualifizierung</t>
  </si>
  <si>
    <t>Anzahl der KMU</t>
  </si>
  <si>
    <t>Ergänzende Erläuterungen zu obigen Angaben, ggfs. Anzahl der Durchgänge im Projekt (bei Bedarf):</t>
  </si>
  <si>
    <t>kommunale Mittel</t>
  </si>
  <si>
    <t>Entgeltfortzahlung(Pauschalierung)</t>
  </si>
  <si>
    <t xml:space="preserve">                                                           Anteil aktive Kofinanzierung</t>
  </si>
  <si>
    <t>Komges</t>
  </si>
  <si>
    <t>kom1jahr</t>
  </si>
  <si>
    <t>kom2jahr</t>
  </si>
  <si>
    <t>andlandges</t>
  </si>
  <si>
    <t>andland1jahr</t>
  </si>
  <si>
    <t>andland2jahr</t>
  </si>
  <si>
    <t>sgbIIges</t>
  </si>
  <si>
    <t>Kommune gesamt</t>
  </si>
  <si>
    <t>and. Landesmit. Gesamt</t>
  </si>
  <si>
    <t>Sonstige oeffentliche Mittel</t>
  </si>
  <si>
    <t>tngebges</t>
  </si>
  <si>
    <t>tngeb1jahr</t>
  </si>
  <si>
    <t>Spenden gesamt</t>
  </si>
  <si>
    <t>EntgeltTN1jahr</t>
  </si>
  <si>
    <t>EntgeltTN2jahr</t>
  </si>
  <si>
    <t>and.Kofi</t>
  </si>
  <si>
    <t>6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</si>
  <si>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</si>
  <si>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</si>
  <si>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</si>
  <si>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</si>
  <si>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</si>
  <si>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</si>
  <si>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</si>
  <si>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</si>
  <si>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</si>
  <si>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</si>
  <si>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</si>
  <si>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</si>
  <si>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</si>
  <si>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</si>
  <si>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</si>
  <si>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</si>
  <si>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</si>
  <si>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</si>
  <si>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</si>
  <si>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</si>
  <si>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</si>
  <si>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</si>
  <si>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</si>
  <si>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</si>
  <si>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Projektstruktur,-phasen, ztl. Ablauf, auch teilnehmerbezogen, Methodik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</si>
  <si>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</si>
  <si>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</si>
  <si>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</si>
  <si>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</si>
  <si>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</si>
  <si>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</si>
  <si>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</si>
  <si>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</si>
  <si>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Projektstruktur/-phasen, zeitl. Ablauf, auch teilnehmerbezogen, Methodeneinsatz (max. 3000 Zeichen)</t>
  </si>
  <si>
    <t>wd</t>
  </si>
  <si>
    <t>Förderansatz</t>
  </si>
  <si>
    <t>ba1jahr</t>
  </si>
  <si>
    <t>bages</t>
  </si>
  <si>
    <t>Bundesagentur gesamt</t>
  </si>
  <si>
    <t>wd / ed</t>
  </si>
  <si>
    <t>Kost4Jahr</t>
  </si>
  <si>
    <t>Esf3Jahr</t>
  </si>
  <si>
    <t>Esf4Jahr</t>
  </si>
  <si>
    <t>msagd4Jahr</t>
  </si>
  <si>
    <t>kom3jahr</t>
  </si>
  <si>
    <t>kom4jahr</t>
  </si>
  <si>
    <t>ba4jahr</t>
  </si>
  <si>
    <t>andland3jahr</t>
  </si>
  <si>
    <t>andland4jahr</t>
  </si>
  <si>
    <t>sgbII4jahr</t>
  </si>
  <si>
    <t>eigen4jahr</t>
  </si>
  <si>
    <t>tngeb4jahr</t>
  </si>
  <si>
    <t>zuschussag4jahr</t>
  </si>
  <si>
    <t>spenden4jahr</t>
  </si>
  <si>
    <t>einnahmen4jahr</t>
  </si>
  <si>
    <t>EntgeltTN3jahr</t>
  </si>
  <si>
    <t>EntgeltTN4jahr</t>
  </si>
  <si>
    <t>Kost3Jahr</t>
  </si>
  <si>
    <t>mbges</t>
  </si>
  <si>
    <t>mb1jahr</t>
  </si>
  <si>
    <t>mb2jahr</t>
  </si>
  <si>
    <t>mb3jahr</t>
  </si>
  <si>
    <t>mb4jahr</t>
  </si>
  <si>
    <t>ltgtitel</t>
  </si>
  <si>
    <t>Mittel des Jobcenters (SGBII)</t>
  </si>
  <si>
    <t>weitere Landesmittel</t>
  </si>
  <si>
    <t>Mittel MWVLW</t>
  </si>
  <si>
    <t>Private Mittel</t>
  </si>
  <si>
    <t>Zuschüsse von Unternehmen</t>
  </si>
  <si>
    <t>Spenden</t>
  </si>
  <si>
    <t>Einnahmen aus Erlösen</t>
  </si>
  <si>
    <t>Einnahmen aus Verkäufen, Vermietungen, Dienstleistungen etc.</t>
  </si>
  <si>
    <t>durch MWVLW bestätigt</t>
  </si>
  <si>
    <t>MWVLW gesamt</t>
  </si>
  <si>
    <t>Jobcenter gesamt</t>
  </si>
  <si>
    <t>justizges</t>
  </si>
  <si>
    <t>justiz1jahr</t>
  </si>
  <si>
    <t>justiz2jahr</t>
  </si>
  <si>
    <t>justiz3jahr</t>
  </si>
  <si>
    <t>justiz4jahr</t>
  </si>
  <si>
    <t>Mittel MWVLW-Institution</t>
  </si>
  <si>
    <t>Mittel Jobcenter-Institution</t>
  </si>
  <si>
    <t>Zuschuss von Unternehmen-Institution</t>
  </si>
  <si>
    <t>mwvlwges</t>
  </si>
  <si>
    <t>mwvlw1jahr</t>
  </si>
  <si>
    <t>mwvlw2jahr</t>
  </si>
  <si>
    <t>mwvlw3jahr</t>
  </si>
  <si>
    <t>mwvlw4jahr</t>
  </si>
  <si>
    <t>Entgeltfortzahlung TN gesamt</t>
  </si>
  <si>
    <t>Teilnehmergebühren gesamt</t>
  </si>
  <si>
    <t>Zuschuss Unternehmen gesamt</t>
  </si>
  <si>
    <t>Eigenmittel Träger gesamt</t>
  </si>
  <si>
    <t>Einnahmen gesamt</t>
  </si>
  <si>
    <t xml:space="preserve"> Kontakte, Kooperationen und Öffentlichkeitsarbeit (maximal 1800 Zeichen)</t>
  </si>
  <si>
    <t>Kontakte, Kooperationen, Öffentlichkeitsarbeit</t>
  </si>
  <si>
    <t>Vorprojekt Nr</t>
  </si>
  <si>
    <t>nrvorproj</t>
  </si>
  <si>
    <t>BS:</t>
  </si>
  <si>
    <t>Mittel MWVLW-Ansprechpartner/Tel</t>
  </si>
  <si>
    <t>Mittel MWVLW-E-mail</t>
  </si>
  <si>
    <t>Andere Landesmittel-Ansprechpartner/Tel.</t>
  </si>
  <si>
    <t>kommunale Mittel-Ansprechpartner/Tel.</t>
  </si>
  <si>
    <t>Andere Landesmittel-E-mail</t>
  </si>
  <si>
    <t>Mittel Jobcenter-Ansprechpartner/Tel.</t>
  </si>
  <si>
    <t>Sonstige öffentliche Mittel-Ansprechpartner/Tel.</t>
  </si>
  <si>
    <t>kommunale Mittel-E-mail</t>
  </si>
  <si>
    <t>Mittel Jobcenter-E-mail</t>
  </si>
  <si>
    <t>Sonstige öffentliche Mittel-E-mail</t>
  </si>
  <si>
    <t>Spenden-Ansprechpartner/Tel.</t>
  </si>
  <si>
    <t>Zuschuss von Unternehmen-Ansprechpartner/Tel.</t>
  </si>
  <si>
    <t>Zuschuss von Unternehmen-E-mail</t>
  </si>
  <si>
    <t>Spenden-E-Mail</t>
  </si>
  <si>
    <t>E-mail</t>
  </si>
  <si>
    <t>Mittel JM</t>
  </si>
  <si>
    <t>Auflagen</t>
  </si>
  <si>
    <t>Regionale Bedarfslage/ Ausgangssituation Zielgruppe (maximal 2400 Zeichen)</t>
  </si>
  <si>
    <t>Projekt-/ Qualifizierungsinhalte, Ziele (maximal 3000 Zeichen)</t>
  </si>
  <si>
    <t>AnsprechpartnerIn/Tel.</t>
  </si>
  <si>
    <t>Projekt-, Qualifizierungsinhalte, Ziele</t>
  </si>
  <si>
    <t>Anmerkungen</t>
  </si>
  <si>
    <t>AS</t>
  </si>
  <si>
    <t>Andreas Schneider</t>
  </si>
  <si>
    <t>ACE</t>
  </si>
  <si>
    <t>Andrea Colling-Engel</t>
  </si>
  <si>
    <t>Vulkaneifelkreis</t>
  </si>
  <si>
    <t>ueregion</t>
  </si>
  <si>
    <t>Mittel MASTD</t>
  </si>
  <si>
    <t>Mittel MFFKI</t>
  </si>
  <si>
    <t>Mittel MWG</t>
  </si>
  <si>
    <t>Mittel MKUEM</t>
  </si>
  <si>
    <t>sstgoeff3jahr</t>
  </si>
  <si>
    <t>Mittel MKUEM-Insitution</t>
  </si>
  <si>
    <t>Mittel MKUEM-Ansprechpartner/Tel.</t>
  </si>
  <si>
    <t>Mittel MKUEM-E-mail</t>
  </si>
  <si>
    <t>Mittel MWG-Institution</t>
  </si>
  <si>
    <t>Mittel MWG-Ansprechpartner</t>
  </si>
  <si>
    <t>Mittel MWG-Telefon</t>
  </si>
  <si>
    <t>Mittel MFFKI-Institution</t>
  </si>
  <si>
    <t>Mittel MFFKI-Ansprechpartner</t>
  </si>
  <si>
    <t>Mittel MFFKI-Telefon</t>
  </si>
  <si>
    <t>MFFKI</t>
  </si>
  <si>
    <t>MWG</t>
  </si>
  <si>
    <t>MASTD</t>
  </si>
  <si>
    <t>MASTD gesamt</t>
  </si>
  <si>
    <t>mastdges</t>
  </si>
  <si>
    <t>mastd1Jahr</t>
  </si>
  <si>
    <t>mastd2Jahr</t>
  </si>
  <si>
    <t>mastd3Jahr</t>
  </si>
  <si>
    <t>MFFKI gesamt</t>
  </si>
  <si>
    <t>mffkiges</t>
  </si>
  <si>
    <t>mffki1jahr</t>
  </si>
  <si>
    <t>mffki2jahr</t>
  </si>
  <si>
    <t>mffki3jahr</t>
  </si>
  <si>
    <t>mffki4jahr</t>
  </si>
  <si>
    <t>mwgges</t>
  </si>
  <si>
    <t>MWG gesamt</t>
  </si>
  <si>
    <t>mwg1jahr</t>
  </si>
  <si>
    <t>mwg2jahr</t>
  </si>
  <si>
    <t>mwg3jahr</t>
  </si>
  <si>
    <t>mwg4jahr</t>
  </si>
  <si>
    <t>mkuemges</t>
  </si>
  <si>
    <t>MKUEM gesamt</t>
  </si>
  <si>
    <t>mkuem1jahr</t>
  </si>
  <si>
    <t>mkuem2jahr</t>
  </si>
  <si>
    <t>mkuem3jahr</t>
  </si>
  <si>
    <t>mkuem4jahr</t>
  </si>
  <si>
    <t>sstgoeff4jahr</t>
  </si>
  <si>
    <t>Übergangsregion Trier</t>
  </si>
  <si>
    <r>
      <rPr>
        <b/>
        <sz val="11"/>
        <color theme="0"/>
        <rFont val="Arial"/>
        <family val="2"/>
      </rPr>
      <t xml:space="preserve">KMU </t>
    </r>
    <r>
      <rPr>
        <b/>
        <sz val="8"/>
        <color theme="0"/>
        <rFont val="Arial"/>
        <family val="2"/>
      </rPr>
      <t>kleine u.mittlere Unternehmen</t>
    </r>
  </si>
  <si>
    <t>Bitte erst spez.Ziel auswählen</t>
  </si>
  <si>
    <t>Spez. Ziel</t>
  </si>
  <si>
    <t>Angaben zum Begünstigten</t>
  </si>
  <si>
    <t>Begünstigter</t>
  </si>
  <si>
    <t>Einordnung in das Programm des ESF+</t>
  </si>
  <si>
    <t xml:space="preserve">Die Teilnehmenden leben und/oder arbeiten in Rheinland-Pfalz. 
</t>
  </si>
  <si>
    <t>ESF+ - Mittel</t>
  </si>
  <si>
    <t>ESF+</t>
  </si>
  <si>
    <t>Einordnung in das  Programm des ESF+</t>
  </si>
  <si>
    <t>Spezifisches Ziel</t>
  </si>
  <si>
    <t>ESF+ Mittel</t>
  </si>
  <si>
    <t>Begünstigtendaten:</t>
  </si>
  <si>
    <t>Begünstigter - Akkreditierung</t>
  </si>
  <si>
    <t xml:space="preserve">Einordnung korrekt: </t>
  </si>
  <si>
    <t>spezif.Ziel</t>
  </si>
  <si>
    <t>Mittel BM</t>
  </si>
  <si>
    <t>BM</t>
  </si>
  <si>
    <t>Mittel BM-Ansprechpartner</t>
  </si>
  <si>
    <t>Mittel BM-Institution</t>
  </si>
  <si>
    <t>Mittel BM-Telefon</t>
  </si>
  <si>
    <t>Mittel JM-Institution</t>
  </si>
  <si>
    <t>Mittel JM-Ansprechpartner</t>
  </si>
  <si>
    <t>Mittel JM-Telefon</t>
  </si>
  <si>
    <t>durch MFFKI bestätigt</t>
  </si>
  <si>
    <t>durch BM bestätigt</t>
  </si>
  <si>
    <t>durch JM bestätigt</t>
  </si>
  <si>
    <t>durch MWG bestätigt</t>
  </si>
  <si>
    <t>Anteil ESF+</t>
  </si>
  <si>
    <t>Tnnichtbinär</t>
  </si>
  <si>
    <t>davon nicht-binär</t>
  </si>
  <si>
    <t>TN nicht-binär</t>
  </si>
  <si>
    <t>Spez.Ziel</t>
  </si>
  <si>
    <t>BM gesamt</t>
  </si>
  <si>
    <t>JM gesamt</t>
  </si>
  <si>
    <t>Interventionsgrad ESF+</t>
  </si>
  <si>
    <t>durch MASTD bestätigt</t>
  </si>
  <si>
    <t>Mittel MASTD-Institution</t>
  </si>
  <si>
    <t>Mittel MASTD-Ansprechpartner</t>
  </si>
  <si>
    <t>Mittel MASTD-Telefon</t>
  </si>
  <si>
    <t>SOB</t>
  </si>
  <si>
    <t>Ü-region</t>
  </si>
  <si>
    <t>EurekaRLP Plus Begünstigtennr.</t>
  </si>
  <si>
    <t>Frauen aktiv in die Zukunft</t>
  </si>
  <si>
    <t>Kostenplan</t>
  </si>
  <si>
    <t>Kosten</t>
  </si>
  <si>
    <t>Betrag</t>
  </si>
  <si>
    <t>Personal-kosten</t>
  </si>
  <si>
    <t>Sachkosten</t>
  </si>
  <si>
    <t>Verwaltungs-kosten</t>
  </si>
  <si>
    <t xml:space="preserve">Personaleinsatzplanung und Teilnahmezeiten:
Bitte erläutern Sie die Teilnahme- bzw. Anwesenheitszeiten der Teilnehmenden sowie den damit in Zusammenhang stehenden Personaleinsatz: </t>
  </si>
  <si>
    <t>Funktion im Projekt</t>
  </si>
  <si>
    <t>Stellenumfang</t>
  </si>
  <si>
    <t>Stärker entwickelte Regionen</t>
  </si>
  <si>
    <r>
      <rPr>
        <b/>
        <sz val="11"/>
        <rFont val="Arial"/>
        <family val="2"/>
      </rPr>
      <t>Bitte beachten Sie:</t>
    </r>
    <r>
      <rPr>
        <sz val="11"/>
        <rFont val="Arial"/>
        <family val="2"/>
      </rPr>
      <t xml:space="preserve">
Der ESF+-Interventionssatz kann in der Übergangsregion max.  60% betragen! 
Im restlichen Rheinland-Pfalz ist eine Förderung des ESF+ bis max. 40% der förderfähigen Kosten möglich!
Landesförderung MASTD 20% der förderfähigen Kosten!</t>
    </r>
  </si>
  <si>
    <t>Interventions-satz</t>
  </si>
  <si>
    <t>nicht förderfähig im Sinne des ESF+</t>
  </si>
  <si>
    <t>Langzeitleistungsbeziehende (SGB II) / strukturell Benachteiligte im Leistungsbezug (SGB II)</t>
  </si>
  <si>
    <t>Projektarbeit</t>
  </si>
  <si>
    <t>Qualifizierungsbaust. zertifiziert</t>
  </si>
  <si>
    <t>Kompetenzfeststellung</t>
  </si>
  <si>
    <t>Situationsanalyse</t>
  </si>
  <si>
    <t>Digitale Grundkompetenzen</t>
  </si>
  <si>
    <t>E-Learning Plattform</t>
  </si>
  <si>
    <t>Netzwerkarbeit</t>
  </si>
  <si>
    <t>Projektanmeldung zum Aufruf 2024-1
REALKOSTEN 
Frauen aktiv in die Zukunft</t>
  </si>
  <si>
    <t xml:space="preserve">Liegt die Akkreditierung für den ESF+ Rheinland-Pfalz vor?
 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</si>
  <si>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</si>
  <si>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>EurekaRLP Plus-Projektnummer Vorprojekt</t>
  </si>
  <si>
    <t xml:space="preserve">bei wd: </t>
  </si>
  <si>
    <t>2024</t>
  </si>
  <si>
    <t xml:space="preserve">Eu-Grundrechtecharta: </t>
  </si>
  <si>
    <t>Projektanmeldung zum Aufruf 2024-1 Frauen aktiv in die Zukunft</t>
  </si>
  <si>
    <t>Aufruf 2024-1</t>
  </si>
  <si>
    <t>außerhalb von Rahmenbedingungen</t>
  </si>
  <si>
    <t>ESO 4.6 Förderung Förderung des gleichberechtigten Zugangs zu hochwertiger und inklusiver allgemeiner
und beruflicher Bildung…</t>
  </si>
  <si>
    <t>ESO 4.7 Förderung des lebenslangen Lernens, insbesondere von flexiblen Möglichkeiten für
Weiterbildung …</t>
  </si>
  <si>
    <t>Bereichsübergreifende Grundsätze</t>
  </si>
  <si>
    <t>Transnationale Zusammenarbeit</t>
  </si>
  <si>
    <t>Nachhaltige Entwicklung</t>
  </si>
  <si>
    <t>Das Modul "Europa und ich" wird im Projekt zielgruppenorientiert aufbereitet und vermittelt.</t>
  </si>
  <si>
    <t>Förderung der Gleichstellung der Geschlechter</t>
  </si>
  <si>
    <t>Chancengleichheit und Nichtdiskriminierung</t>
  </si>
  <si>
    <t>Förderung der Gleichstellung der Geschlechter:</t>
  </si>
  <si>
    <t>Chancengleichheit und Nichtdiskriminierung:</t>
  </si>
  <si>
    <t>Transnationale Zusammenarbeit:</t>
  </si>
  <si>
    <t>Nachhaltige Entwicklung:</t>
  </si>
  <si>
    <t>Erläuterungen bereichsübergreifende Grundsätze (maximal 1800 Zeichen)</t>
  </si>
  <si>
    <t>Gleichstellungsauswahl</t>
  </si>
  <si>
    <t>nachhaltigkeitauswahl</t>
  </si>
  <si>
    <t>Auswahl "Europa &amp; Ich"</t>
  </si>
  <si>
    <t>Gleichstellung der Geschlechter</t>
  </si>
  <si>
    <t>Chancengleichheit u. Nichtdiskrim.</t>
  </si>
  <si>
    <t>Nichdiskriminierungsauswahl</t>
  </si>
  <si>
    <t>Zustimmung Grundrechtecharta</t>
  </si>
  <si>
    <t>Grundrechtecharta</t>
  </si>
  <si>
    <t>ESO 4.8 Förd. der aktiven Inklusion mit Blick auf die Verbesserung der Chancengleichheit, Nichtdiskriminierung u. aktiven Teilhabe sowie Erhöhung der Beschäftigungsfähigkeit…</t>
  </si>
  <si>
    <t>davon 2024:</t>
  </si>
  <si>
    <t>davon 2025:</t>
  </si>
  <si>
    <t>Das Projekt bietet Inhalte zum Umgang mit Geld.</t>
  </si>
  <si>
    <t>Auswahl "Umgang mit Geld"</t>
  </si>
  <si>
    <t>Umgang mit 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</si>
</sst>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rgb="FF000000"/>
      <name val="Segoe UI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826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Alignment="1">
      <alignment horizontal="left"/>
    </xf>
    <xf numFmtId="0" fontId="2" fillId="0" borderId="2" xfId="0" applyFont="1" applyBorder="1"/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167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/>
    <xf numFmtId="0" fontId="21" fillId="0" borderId="0" xfId="0" applyFont="1"/>
    <xf numFmtId="0" fontId="23" fillId="0" borderId="1" xfId="0" applyFont="1" applyBorder="1" applyAlignment="1">
      <alignment horizontal="center"/>
    </xf>
    <xf numFmtId="0" fontId="22" fillId="0" borderId="1" xfId="0" applyFont="1" applyBorder="1"/>
    <xf numFmtId="0" fontId="21" fillId="0" borderId="1" xfId="0" applyFont="1" applyBorder="1"/>
    <xf numFmtId="0" fontId="23" fillId="0" borderId="9" xfId="0" applyFont="1" applyBorder="1"/>
    <xf numFmtId="0" fontId="23" fillId="0" borderId="1" xfId="0" applyFont="1" applyBorder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10" fillId="0" borderId="8" xfId="0" applyFont="1" applyBorder="1"/>
    <xf numFmtId="0" fontId="10" fillId="0" borderId="5" xfId="0" applyFont="1" applyBorder="1"/>
    <xf numFmtId="0" fontId="12" fillId="0" borderId="0" xfId="0" applyFont="1"/>
    <xf numFmtId="0" fontId="0" fillId="0" borderId="10" xfId="0" applyBorder="1"/>
    <xf numFmtId="0" fontId="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/>
    <xf numFmtId="0" fontId="0" fillId="2" borderId="11" xfId="0" applyFill="1" applyBorder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Border="1"/>
    <xf numFmtId="2" fontId="0" fillId="0" borderId="0" xfId="0" applyNumberFormat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167" fontId="5" fillId="0" borderId="0" xfId="0" applyNumberFormat="1" applyFont="1" applyAlignment="1">
      <alignment wrapText="1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5" fillId="0" borderId="0" xfId="0" applyNumberFormat="1" applyFont="1" applyAlignment="1">
      <alignment wrapText="1"/>
    </xf>
    <xf numFmtId="0" fontId="10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0" fillId="0" borderId="16" xfId="0" applyBorder="1"/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0" fontId="18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/>
    <xf numFmtId="0" fontId="0" fillId="0" borderId="16" xfId="0" applyBorder="1" applyAlignment="1">
      <alignment wrapText="1"/>
    </xf>
    <xf numFmtId="0" fontId="19" fillId="0" borderId="20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Protection="1"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0" fillId="0" borderId="8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vertical="center"/>
    </xf>
    <xf numFmtId="0" fontId="29" fillId="0" borderId="0" xfId="0" applyFont="1"/>
    <xf numFmtId="1" fontId="2" fillId="0" borderId="0" xfId="0" quotePrefix="1" applyNumberFormat="1" applyFont="1" applyAlignment="1">
      <alignment horizontal="left" wrapText="1"/>
    </xf>
    <xf numFmtId="0" fontId="12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14" fontId="1" fillId="0" borderId="0" xfId="0" applyNumberFormat="1" applyFont="1"/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3" fontId="1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2" xfId="0" applyFont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20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167" fontId="1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167" fontId="1" fillId="3" borderId="0" xfId="0" applyNumberFormat="1" applyFont="1" applyFill="1" applyAlignment="1">
      <alignment horizontal="left" wrapText="1"/>
    </xf>
    <xf numFmtId="0" fontId="2" fillId="0" borderId="2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1" fontId="3" fillId="0" borderId="11" xfId="0" applyNumberFormat="1" applyFont="1" applyBorder="1" applyAlignment="1">
      <alignment horizontal="left" wrapText="1"/>
    </xf>
    <xf numFmtId="49" fontId="1" fillId="0" borderId="0" xfId="0" applyNumberFormat="1" applyFont="1" applyAlignment="1" applyProtection="1">
      <alignment horizontal="left"/>
      <protection locked="0"/>
    </xf>
    <xf numFmtId="9" fontId="0" fillId="0" borderId="0" xfId="0" applyNumberFormat="1"/>
    <xf numFmtId="0" fontId="10" fillId="0" borderId="1" xfId="0" applyFont="1" applyBorder="1" applyAlignment="1">
      <alignment horizontal="right"/>
    </xf>
    <xf numFmtId="0" fontId="0" fillId="0" borderId="5" xfId="0" applyBorder="1" applyAlignment="1">
      <alignment horizontal="center"/>
    </xf>
    <xf numFmtId="165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2" xfId="0" applyFont="1" applyBorder="1"/>
    <xf numFmtId="0" fontId="9" fillId="0" borderId="0" xfId="0" applyFont="1"/>
    <xf numFmtId="0" fontId="29" fillId="0" borderId="0" xfId="0" applyFont="1" applyAlignment="1">
      <alignment vertical="center"/>
    </xf>
    <xf numFmtId="9" fontId="3" fillId="0" borderId="0" xfId="0" applyNumberFormat="1" applyFont="1" applyAlignment="1">
      <alignment wrapText="1"/>
    </xf>
    <xf numFmtId="0" fontId="9" fillId="0" borderId="0" xfId="0" applyFont="1" applyAlignment="1">
      <alignment vertical="center"/>
    </xf>
    <xf numFmtId="0" fontId="0" fillId="0" borderId="9" xfId="0" applyBorder="1" applyProtection="1">
      <protection locked="0"/>
    </xf>
    <xf numFmtId="14" fontId="1" fillId="0" borderId="0" xfId="0" applyNumberFormat="1" applyFont="1" applyAlignment="1">
      <alignment horizontal="righ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16" xfId="0" applyFont="1" applyBorder="1" applyAlignment="1">
      <alignment wrapText="1"/>
    </xf>
    <xf numFmtId="1" fontId="3" fillId="0" borderId="0" xfId="0" applyNumberFormat="1" applyFont="1" applyAlignment="1">
      <alignment horizontal="left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/>
    <xf numFmtId="49" fontId="9" fillId="0" borderId="3" xfId="0" applyNumberFormat="1" applyFont="1" applyBorder="1" applyAlignment="1">
      <alignment horizontal="center" vertical="center"/>
    </xf>
    <xf numFmtId="49" fontId="25" fillId="0" borderId="0" xfId="0" applyNumberFormat="1" applyFont="1"/>
    <xf numFmtId="49" fontId="0" fillId="0" borderId="3" xfId="0" applyNumberFormat="1" applyBorder="1"/>
    <xf numFmtId="49" fontId="9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27" fillId="0" borderId="0" xfId="0" applyNumberFormat="1" applyFont="1"/>
    <xf numFmtId="49" fontId="21" fillId="0" borderId="2" xfId="0" applyNumberFormat="1" applyFont="1" applyBorder="1" applyAlignment="1">
      <alignment horizontal="left"/>
    </xf>
    <xf numFmtId="49" fontId="21" fillId="0" borderId="8" xfId="0" applyNumberFormat="1" applyFont="1" applyBorder="1"/>
    <xf numFmtId="49" fontId="21" fillId="0" borderId="5" xfId="0" applyNumberFormat="1" applyFont="1" applyBorder="1"/>
    <xf numFmtId="49" fontId="21" fillId="0" borderId="6" xfId="0" applyNumberFormat="1" applyFont="1" applyBorder="1"/>
    <xf numFmtId="49" fontId="21" fillId="0" borderId="8" xfId="0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49" fontId="21" fillId="0" borderId="3" xfId="0" applyNumberFormat="1" applyFont="1" applyBorder="1"/>
    <xf numFmtId="49" fontId="27" fillId="0" borderId="0" xfId="0" applyNumberFormat="1" applyFont="1" applyAlignment="1">
      <alignment horizontal="left"/>
    </xf>
    <xf numFmtId="49" fontId="3" fillId="0" borderId="3" xfId="0" applyNumberFormat="1" applyFont="1" applyBorder="1"/>
    <xf numFmtId="49" fontId="11" fillId="0" borderId="0" xfId="0" applyNumberFormat="1" applyFont="1"/>
    <xf numFmtId="49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49" fontId="9" fillId="0" borderId="8" xfId="0" applyNumberFormat="1" applyFont="1" applyBorder="1"/>
    <xf numFmtId="49" fontId="0" fillId="0" borderId="5" xfId="0" applyNumberFormat="1" applyBorder="1"/>
    <xf numFmtId="49" fontId="0" fillId="0" borderId="6" xfId="0" applyNumberFormat="1" applyBorder="1"/>
    <xf numFmtId="49" fontId="21" fillId="0" borderId="5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center"/>
    </xf>
    <xf numFmtId="0" fontId="20" fillId="0" borderId="3" xfId="0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49" fontId="12" fillId="5" borderId="0" xfId="0" applyNumberFormat="1" applyFont="1" applyFill="1"/>
    <xf numFmtId="49" fontId="0" fillId="5" borderId="0" xfId="0" applyNumberFormat="1" applyFill="1"/>
    <xf numFmtId="49" fontId="3" fillId="5" borderId="0" xfId="0" applyNumberFormat="1" applyFont="1" applyFill="1"/>
    <xf numFmtId="49" fontId="3" fillId="5" borderId="3" xfId="0" applyNumberFormat="1" applyFont="1" applyFill="1" applyBorder="1"/>
    <xf numFmtId="49" fontId="3" fillId="0" borderId="2" xfId="0" applyNumberFormat="1" applyFont="1" applyBorder="1"/>
    <xf numFmtId="49" fontId="14" fillId="0" borderId="2" xfId="0" applyNumberFormat="1" applyFont="1" applyBorder="1"/>
    <xf numFmtId="49" fontId="0" fillId="0" borderId="16" xfId="0" applyNumberFormat="1" applyBorder="1"/>
    <xf numFmtId="49" fontId="3" fillId="0" borderId="16" xfId="0" applyNumberFormat="1" applyFont="1" applyBorder="1"/>
    <xf numFmtId="49" fontId="3" fillId="0" borderId="19" xfId="0" applyNumberFormat="1" applyFont="1" applyBorder="1"/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/>
    <xf numFmtId="49" fontId="5" fillId="0" borderId="0" xfId="0" applyNumberFormat="1" applyFont="1"/>
    <xf numFmtId="49" fontId="3" fillId="0" borderId="2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32" fillId="7" borderId="0" xfId="0" applyFont="1" applyFill="1"/>
    <xf numFmtId="0" fontId="1" fillId="0" borderId="8" xfId="0" applyFont="1" applyBorder="1"/>
    <xf numFmtId="49" fontId="9" fillId="0" borderId="6" xfId="0" applyNumberFormat="1" applyFont="1" applyBorder="1"/>
    <xf numFmtId="49" fontId="3" fillId="0" borderId="0" xfId="0" quotePrefix="1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20" fillId="7" borderId="8" xfId="0" applyNumberFormat="1" applyFont="1" applyFill="1" applyBorder="1" applyAlignment="1">
      <alignment horizontal="left" vertical="top"/>
    </xf>
    <xf numFmtId="49" fontId="9" fillId="7" borderId="5" xfId="0" applyNumberFormat="1" applyFont="1" applyFill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right"/>
    </xf>
    <xf numFmtId="49" fontId="3" fillId="0" borderId="6" xfId="0" applyNumberFormat="1" applyFont="1" applyBorder="1"/>
    <xf numFmtId="49" fontId="2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20" fillId="0" borderId="2" xfId="0" applyNumberFormat="1" applyFont="1" applyBorder="1" applyAlignment="1">
      <alignment horizontal="left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3" xfId="0" applyNumberFormat="1" applyFont="1" applyBorder="1"/>
    <xf numFmtId="49" fontId="3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3" fillId="0" borderId="3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9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11" xfId="0" applyNumberFormat="1" applyFont="1" applyBorder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/>
    <xf numFmtId="49" fontId="3" fillId="0" borderId="10" xfId="0" applyNumberFormat="1" applyFont="1" applyBorder="1"/>
    <xf numFmtId="49" fontId="3" fillId="0" borderId="12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12" xfId="0" applyNumberFormat="1" applyFont="1" applyBorder="1"/>
    <xf numFmtId="49" fontId="3" fillId="0" borderId="12" xfId="0" applyNumberFormat="1" applyFont="1" applyBorder="1" applyAlignment="1">
      <alignment horizontal="center"/>
    </xf>
    <xf numFmtId="49" fontId="3" fillId="7" borderId="12" xfId="0" applyNumberFormat="1" applyFont="1" applyFill="1" applyBorder="1" applyAlignment="1">
      <alignment horizontal="left"/>
    </xf>
    <xf numFmtId="49" fontId="3" fillId="7" borderId="12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1" fillId="7" borderId="0" xfId="0" applyNumberFormat="1" applyFont="1" applyFill="1" applyAlignment="1">
      <alignment horizontal="center"/>
    </xf>
    <xf numFmtId="49" fontId="3" fillId="0" borderId="4" xfId="0" applyNumberFormat="1" applyFont="1" applyBorder="1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1" applyNumberFormat="1" applyFont="1"/>
    <xf numFmtId="49" fontId="3" fillId="0" borderId="0" xfId="0" applyNumberFormat="1" applyFont="1" applyAlignment="1">
      <alignment horizontal="left" vertical="center"/>
    </xf>
    <xf numFmtId="49" fontId="3" fillId="0" borderId="0" xfId="0" quotePrefix="1" applyNumberFormat="1" applyFont="1"/>
    <xf numFmtId="49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/>
    <xf numFmtId="49" fontId="2" fillId="7" borderId="0" xfId="0" quotePrefix="1" applyNumberFormat="1" applyFont="1" applyFill="1" applyAlignment="1">
      <alignment horizontal="center"/>
    </xf>
    <xf numFmtId="3" fontId="4" fillId="7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49" fontId="20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quotePrefix="1" applyNumberFormat="1" applyFont="1"/>
    <xf numFmtId="3" fontId="31" fillId="0" borderId="0" xfId="0" applyNumberFormat="1" applyFont="1" applyAlignment="1">
      <alignment horizontal="center"/>
    </xf>
    <xf numFmtId="49" fontId="17" fillId="0" borderId="0" xfId="0" applyNumberFormat="1" applyFont="1"/>
    <xf numFmtId="0" fontId="1" fillId="0" borderId="16" xfId="0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49" fontId="1" fillId="0" borderId="16" xfId="0" applyNumberFormat="1" applyFont="1" applyBorder="1"/>
    <xf numFmtId="49" fontId="10" fillId="0" borderId="16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49" fontId="25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0" fontId="25" fillId="0" borderId="0" xfId="0" applyFont="1" applyAlignment="1">
      <alignment vertical="top" wrapText="1"/>
    </xf>
    <xf numFmtId="49" fontId="20" fillId="0" borderId="0" xfId="0" applyNumberFormat="1" applyFont="1" applyAlignment="1">
      <alignment horizontal="left" vertical="center" wrapText="1"/>
    </xf>
    <xf numFmtId="49" fontId="25" fillId="0" borderId="8" xfId="0" applyNumberFormat="1" applyFont="1" applyBorder="1"/>
    <xf numFmtId="49" fontId="25" fillId="0" borderId="5" xfId="0" applyNumberFormat="1" applyFont="1" applyBorder="1"/>
    <xf numFmtId="49" fontId="25" fillId="0" borderId="6" xfId="0" applyNumberFormat="1" applyFont="1" applyBorder="1"/>
    <xf numFmtId="49" fontId="25" fillId="0" borderId="7" xfId="0" applyNumberFormat="1" applyFont="1" applyBorder="1"/>
    <xf numFmtId="49" fontId="25" fillId="0" borderId="4" xfId="0" applyNumberFormat="1" applyFont="1" applyBorder="1"/>
    <xf numFmtId="49" fontId="25" fillId="0" borderId="11" xfId="0" applyNumberFormat="1" applyFont="1" applyBorder="1"/>
    <xf numFmtId="49" fontId="0" fillId="0" borderId="4" xfId="0" applyNumberFormat="1" applyBorder="1"/>
    <xf numFmtId="49" fontId="0" fillId="0" borderId="11" xfId="0" applyNumberFormat="1" applyBorder="1"/>
    <xf numFmtId="49" fontId="1" fillId="0" borderId="0" xfId="0" applyNumberFormat="1" applyFont="1" applyProtection="1">
      <protection locked="0"/>
    </xf>
    <xf numFmtId="49" fontId="25" fillId="0" borderId="12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3" fontId="5" fillId="4" borderId="9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 applyProtection="1">
      <alignment vertical="center"/>
      <protection locked="0"/>
    </xf>
    <xf numFmtId="49" fontId="3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25" fillId="0" borderId="8" xfId="0" applyFont="1" applyBorder="1" applyAlignment="1" applyProtection="1">
      <alignment vertical="top" wrapText="1"/>
      <protection locked="0"/>
    </xf>
    <xf numFmtId="0" fontId="25" fillId="0" borderId="5" xfId="0" applyFont="1" applyBorder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11" xfId="0" applyFont="1" applyBorder="1" applyAlignment="1" applyProtection="1">
      <alignment vertical="top" wrapText="1"/>
      <protection locked="0"/>
    </xf>
    <xf numFmtId="49" fontId="25" fillId="0" borderId="10" xfId="0" applyNumberFormat="1" applyFont="1" applyBorder="1"/>
    <xf numFmtId="49" fontId="25" fillId="0" borderId="12" xfId="0" applyNumberFormat="1" applyFont="1" applyBorder="1"/>
    <xf numFmtId="49" fontId="20" fillId="0" borderId="9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0" fillId="0" borderId="1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/>
    <xf numFmtId="49" fontId="0" fillId="0" borderId="9" xfId="0" applyNumberFormat="1" applyBorder="1"/>
    <xf numFmtId="49" fontId="0" fillId="0" borderId="1" xfId="0" applyNumberFormat="1" applyBorder="1"/>
    <xf numFmtId="49" fontId="0" fillId="0" borderId="10" xfId="0" applyNumberFormat="1" applyBorder="1"/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49" fontId="10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3" fontId="4" fillId="4" borderId="12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" fontId="1" fillId="4" borderId="12" xfId="0" applyNumberFormat="1" applyFont="1" applyFill="1" applyBorder="1" applyAlignment="1">
      <alignment horizontal="right"/>
    </xf>
    <xf numFmtId="9" fontId="3" fillId="4" borderId="21" xfId="0" applyNumberFormat="1" applyFont="1" applyFill="1" applyBorder="1" applyAlignment="1">
      <alignment vertical="center"/>
    </xf>
    <xf numFmtId="9" fontId="0" fillId="0" borderId="21" xfId="0" applyNumberFormat="1" applyBorder="1" applyAlignment="1">
      <alignment vertical="center"/>
    </xf>
    <xf numFmtId="9" fontId="0" fillId="0" borderId="22" xfId="0" applyNumberForma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2" xfId="0" quotePrefix="1" applyNumberFormat="1" applyFont="1" applyBorder="1" applyAlignment="1">
      <alignment horizontal="center"/>
    </xf>
    <xf numFmtId="3" fontId="4" fillId="4" borderId="9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49" fontId="2" fillId="7" borderId="0" xfId="0" quotePrefix="1" applyNumberFormat="1" applyFont="1" applyFill="1" applyAlignment="1">
      <alignment horizontal="center"/>
    </xf>
    <xf numFmtId="0" fontId="4" fillId="5" borderId="9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5" borderId="9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11" fillId="0" borderId="0" xfId="0" applyNumberFormat="1" applyFont="1"/>
    <xf numFmtId="49" fontId="25" fillId="0" borderId="0" xfId="0" applyNumberFormat="1" applyFont="1"/>
    <xf numFmtId="49" fontId="9" fillId="0" borderId="8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167" fontId="25" fillId="0" borderId="7" xfId="0" applyNumberFormat="1" applyFont="1" applyBorder="1" applyAlignment="1" applyProtection="1">
      <alignment horizontal="left" vertical="top"/>
      <protection locked="0"/>
    </xf>
    <xf numFmtId="167" fontId="25" fillId="0" borderId="4" xfId="0" applyNumberFormat="1" applyFont="1" applyBorder="1" applyAlignment="1" applyProtection="1">
      <alignment horizontal="left" vertical="top"/>
      <protection locked="0"/>
    </xf>
    <xf numFmtId="167" fontId="25" fillId="0" borderId="11" xfId="0" applyNumberFormat="1" applyFont="1" applyBorder="1" applyAlignment="1" applyProtection="1">
      <alignment horizontal="left" vertical="top"/>
      <protection locked="0"/>
    </xf>
    <xf numFmtId="167" fontId="25" fillId="0" borderId="7" xfId="0" applyNumberFormat="1" applyFont="1" applyBorder="1" applyAlignment="1" applyProtection="1">
      <alignment horizontal="left"/>
      <protection locked="0"/>
    </xf>
    <xf numFmtId="167" fontId="25" fillId="0" borderId="4" xfId="0" applyNumberFormat="1" applyFont="1" applyBorder="1" applyAlignment="1" applyProtection="1">
      <alignment horizontal="left"/>
      <protection locked="0"/>
    </xf>
    <xf numFmtId="167" fontId="25" fillId="0" borderId="11" xfId="0" applyNumberFormat="1" applyFont="1" applyBorder="1" applyAlignment="1" applyProtection="1">
      <alignment horizontal="left"/>
      <protection locked="0"/>
    </xf>
    <xf numFmtId="49" fontId="1" fillId="7" borderId="0" xfId="0" applyNumberFormat="1" applyFont="1" applyFill="1" applyAlignment="1">
      <alignment horizontal="left" vertical="top" wrapText="1"/>
    </xf>
    <xf numFmtId="49" fontId="0" fillId="7" borderId="0" xfId="0" applyNumberFormat="1" applyFill="1" applyAlignment="1">
      <alignment horizontal="left" vertical="top"/>
    </xf>
    <xf numFmtId="49" fontId="3" fillId="0" borderId="12" xfId="0" applyNumberFormat="1" applyFont="1" applyBorder="1" applyAlignment="1">
      <alignment horizontal="left"/>
    </xf>
    <xf numFmtId="49" fontId="0" fillId="0" borderId="12" xfId="0" applyNumberFormat="1" applyBorder="1"/>
    <xf numFmtId="49" fontId="1" fillId="7" borderId="0" xfId="0" applyNumberFormat="1" applyFont="1" applyFill="1" applyAlignment="1">
      <alignment horizontal="left"/>
    </xf>
    <xf numFmtId="49" fontId="0" fillId="7" borderId="0" xfId="0" applyNumberFormat="1" applyFill="1" applyAlignment="1">
      <alignment horizontal="left"/>
    </xf>
    <xf numFmtId="1" fontId="5" fillId="7" borderId="0" xfId="0" applyNumberFormat="1" applyFont="1" applyFill="1" applyAlignment="1">
      <alignment horizontal="right" vertical="center"/>
    </xf>
    <xf numFmtId="49" fontId="1" fillId="7" borderId="12" xfId="0" applyNumberFormat="1" applyFont="1" applyFill="1" applyBorder="1" applyAlignment="1">
      <alignment horizontal="left"/>
    </xf>
    <xf numFmtId="49" fontId="0" fillId="7" borderId="12" xfId="0" applyNumberFormat="1" applyFill="1" applyBorder="1" applyAlignment="1">
      <alignment horizontal="left"/>
    </xf>
    <xf numFmtId="1" fontId="5" fillId="7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6" xfId="0" applyNumberFormat="1" applyBorder="1" applyAlignment="1">
      <alignment vertical="top"/>
    </xf>
    <xf numFmtId="49" fontId="3" fillId="7" borderId="0" xfId="0" applyNumberFormat="1" applyFont="1" applyFill="1" applyAlignment="1">
      <alignment horizontal="left"/>
    </xf>
    <xf numFmtId="0" fontId="1" fillId="0" borderId="2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1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1" fontId="5" fillId="0" borderId="12" xfId="0" applyNumberFormat="1" applyFont="1" applyBorder="1" applyAlignment="1" applyProtection="1">
      <alignment horizontal="right" vertical="center"/>
      <protection locked="0"/>
    </xf>
    <xf numFmtId="49" fontId="1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/>
    <xf numFmtId="49" fontId="0" fillId="0" borderId="0" xfId="0" applyNumberFormat="1"/>
    <xf numFmtId="49" fontId="20" fillId="0" borderId="2" xfId="0" applyNumberFormat="1" applyFont="1" applyBorder="1"/>
    <xf numFmtId="0" fontId="0" fillId="0" borderId="0" xfId="0"/>
    <xf numFmtId="49" fontId="9" fillId="0" borderId="5" xfId="0" applyNumberFormat="1" applyFont="1" applyBorder="1" applyAlignment="1">
      <alignment vertical="top"/>
    </xf>
    <xf numFmtId="49" fontId="25" fillId="0" borderId="7" xfId="0" applyNumberFormat="1" applyFont="1" applyBorder="1" applyProtection="1">
      <protection locked="0"/>
    </xf>
    <xf numFmtId="49" fontId="25" fillId="0" borderId="4" xfId="0" applyNumberFormat="1" applyFont="1" applyBorder="1" applyProtection="1">
      <protection locked="0"/>
    </xf>
    <xf numFmtId="0" fontId="0" fillId="0" borderId="11" xfId="0" applyBorder="1" applyProtection="1"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49" fontId="0" fillId="0" borderId="16" xfId="0" applyNumberFormat="1" applyBorder="1"/>
    <xf numFmtId="49" fontId="21" fillId="0" borderId="8" xfId="0" applyNumberFormat="1" applyFont="1" applyBorder="1"/>
    <xf numFmtId="49" fontId="21" fillId="0" borderId="5" xfId="0" applyNumberFormat="1" applyFont="1" applyBorder="1"/>
    <xf numFmtId="49" fontId="21" fillId="0" borderId="6" xfId="0" applyNumberFormat="1" applyFont="1" applyBorder="1"/>
    <xf numFmtId="49" fontId="25" fillId="0" borderId="11" xfId="0" applyNumberFormat="1" applyFont="1" applyBorder="1" applyProtection="1">
      <protection locked="0"/>
    </xf>
    <xf numFmtId="49" fontId="25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2" fillId="0" borderId="8" xfId="0" applyNumberFormat="1" applyFont="1" applyBorder="1" applyAlignment="1">
      <alignment vertical="top" wrapText="1"/>
    </xf>
    <xf numFmtId="49" fontId="9" fillId="0" borderId="5" xfId="0" applyNumberFormat="1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49" fontId="2" fillId="0" borderId="9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49" fontId="20" fillId="0" borderId="7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67" fontId="20" fillId="0" borderId="0" xfId="0" applyNumberFormat="1" applyFont="1" applyAlignment="1">
      <alignment horizontal="center" vertical="center"/>
    </xf>
    <xf numFmtId="167" fontId="20" fillId="0" borderId="3" xfId="0" applyNumberFormat="1" applyFont="1" applyBorder="1" applyAlignment="1">
      <alignment horizontal="center" vertical="center"/>
    </xf>
    <xf numFmtId="0" fontId="0" fillId="0" borderId="5" xfId="0" applyBorder="1"/>
    <xf numFmtId="49" fontId="0" fillId="0" borderId="4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21" fillId="0" borderId="8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5" xfId="0" applyNumberFormat="1" applyBorder="1"/>
    <xf numFmtId="49" fontId="0" fillId="0" borderId="6" xfId="0" applyNumberFormat="1" applyBorder="1"/>
    <xf numFmtId="15" fontId="11" fillId="0" borderId="7" xfId="0" applyNumberFormat="1" applyFont="1" applyBorder="1" applyAlignment="1">
      <alignment horizontal="center" vertical="center" wrapText="1"/>
    </xf>
    <xf numFmtId="15" fontId="0" fillId="0" borderId="4" xfId="0" applyNumberFormat="1" applyBorder="1" applyAlignment="1">
      <alignment vertical="center"/>
    </xf>
    <xf numFmtId="15" fontId="0" fillId="0" borderId="11" xfId="0" applyNumberFormat="1" applyBorder="1" applyAlignment="1">
      <alignment vertic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49" fontId="12" fillId="0" borderId="5" xfId="0" applyNumberFormat="1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49" fontId="21" fillId="0" borderId="2" xfId="0" applyNumberFormat="1" applyFont="1" applyBorder="1"/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25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26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9" fillId="5" borderId="9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49" fontId="9" fillId="0" borderId="2" xfId="0" applyNumberFormat="1" applyFont="1" applyBorder="1"/>
    <xf numFmtId="49" fontId="0" fillId="0" borderId="3" xfId="0" applyNumberFormat="1" applyBorder="1"/>
    <xf numFmtId="49" fontId="9" fillId="0" borderId="0" xfId="0" applyNumberFormat="1" applyFont="1"/>
    <xf numFmtId="49" fontId="9" fillId="0" borderId="8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9" fontId="10" fillId="0" borderId="9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37" fillId="7" borderId="0" xfId="0" applyFont="1" applyFill="1" applyAlignment="1">
      <alignment horizontal="right" vertical="center"/>
    </xf>
    <xf numFmtId="49" fontId="34" fillId="7" borderId="0" xfId="0" applyNumberFormat="1" applyFont="1" applyFill="1"/>
    <xf numFmtId="49" fontId="36" fillId="7" borderId="0" xfId="0" applyNumberFormat="1" applyFont="1" applyFill="1"/>
    <xf numFmtId="0" fontId="36" fillId="7" borderId="0" xfId="0" applyFont="1" applyFill="1"/>
    <xf numFmtId="0" fontId="32" fillId="7" borderId="0" xfId="0" applyFont="1" applyFill="1"/>
    <xf numFmtId="49" fontId="2" fillId="0" borderId="4" xfId="0" applyNumberFormat="1" applyFont="1" applyBorder="1"/>
    <xf numFmtId="49" fontId="2" fillId="0" borderId="11" xfId="0" applyNumberFormat="1" applyFont="1" applyBorder="1"/>
    <xf numFmtId="0" fontId="1" fillId="0" borderId="0" xfId="0" applyFont="1" applyAlignment="1" applyProtection="1">
      <alignment horizontal="left"/>
      <protection locked="0"/>
    </xf>
    <xf numFmtId="49" fontId="11" fillId="0" borderId="10" xfId="0" applyNumberFormat="1" applyFont="1" applyBorder="1"/>
    <xf numFmtId="49" fontId="11" fillId="0" borderId="12" xfId="0" applyNumberFormat="1" applyFont="1" applyBorder="1"/>
    <xf numFmtId="49" fontId="25" fillId="0" borderId="8" xfId="0" applyNumberFormat="1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9" fontId="10" fillId="4" borderId="12" xfId="0" applyNumberFormat="1" applyFont="1" applyFill="1" applyBorder="1" applyAlignment="1">
      <alignment horizontal="center" wrapText="1"/>
    </xf>
    <xf numFmtId="9" fontId="0" fillId="0" borderId="12" xfId="0" applyNumberFormat="1" applyBorder="1"/>
    <xf numFmtId="49" fontId="2" fillId="8" borderId="9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8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12" fillId="8" borderId="9" xfId="0" applyNumberFormat="1" applyFont="1" applyFill="1" applyBorder="1" applyAlignment="1">
      <alignment horizontal="left" vertical="center"/>
    </xf>
    <xf numFmtId="49" fontId="12" fillId="8" borderId="1" xfId="0" applyNumberFormat="1" applyFont="1" applyFill="1" applyBorder="1" applyAlignment="1">
      <alignment horizontal="left" vertical="center"/>
    </xf>
    <xf numFmtId="49" fontId="12" fillId="8" borderId="10" xfId="0" applyNumberFormat="1" applyFont="1" applyFill="1" applyBorder="1" applyAlignment="1">
      <alignment horizontal="left" vertical="center"/>
    </xf>
    <xf numFmtId="49" fontId="3" fillId="0" borderId="0" xfId="0" applyNumberFormat="1" applyFont="1"/>
    <xf numFmtId="49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9" fontId="3" fillId="0" borderId="5" xfId="0" applyNumberFormat="1" applyFont="1" applyBorder="1"/>
    <xf numFmtId="49" fontId="2" fillId="0" borderId="0" xfId="0" applyNumberFormat="1" applyFont="1" applyAlignment="1">
      <alignment horizontal="left"/>
    </xf>
    <xf numFmtId="49" fontId="25" fillId="0" borderId="8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2" xfId="0" applyFont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top" wrapText="1"/>
      <protection locked="0"/>
    </xf>
    <xf numFmtId="49" fontId="20" fillId="0" borderId="9" xfId="0" applyNumberFormat="1" applyFont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2" xfId="0" applyNumberFormat="1" applyFont="1" applyBorder="1"/>
    <xf numFmtId="49" fontId="20" fillId="0" borderId="9" xfId="0" applyNumberFormat="1" applyFont="1" applyBorder="1"/>
    <xf numFmtId="49" fontId="20" fillId="0" borderId="1" xfId="0" applyNumberFormat="1" applyFont="1" applyBorder="1"/>
    <xf numFmtId="49" fontId="20" fillId="0" borderId="10" xfId="0" applyNumberFormat="1" applyFont="1" applyBorder="1"/>
    <xf numFmtId="3" fontId="1" fillId="4" borderId="9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1" fillId="4" borderId="10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4" xfId="0" applyFont="1" applyBorder="1" applyAlignment="1">
      <alignment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10" xfId="0" applyNumberFormat="1" applyFont="1" applyFill="1" applyBorder="1" applyAlignment="1">
      <alignment horizontal="right" vertical="center"/>
    </xf>
    <xf numFmtId="49" fontId="32" fillId="7" borderId="0" xfId="0" applyNumberFormat="1" applyFont="1" applyFill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0" xfId="0" applyNumberFormat="1" applyFont="1" applyBorder="1" applyAlignment="1" applyProtection="1">
      <alignment horizontal="right" vertical="center" wrapText="1"/>
      <protection locked="0"/>
    </xf>
    <xf numFmtId="49" fontId="1" fillId="5" borderId="9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49" fontId="2" fillId="5" borderId="12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10" xfId="0" applyNumberFormat="1" applyBorder="1" applyAlignment="1" applyProtection="1">
      <alignment horizontal="right" vertical="center"/>
      <protection locked="0"/>
    </xf>
    <xf numFmtId="3" fontId="5" fillId="6" borderId="12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2" fillId="5" borderId="12" xfId="0" applyNumberFormat="1" applyFont="1" applyFill="1" applyBorder="1" applyAlignment="1">
      <alignment wrapText="1"/>
    </xf>
    <xf numFmtId="49" fontId="10" fillId="5" borderId="12" xfId="0" applyNumberFormat="1" applyFont="1" applyFill="1" applyBorder="1"/>
    <xf numFmtId="0" fontId="0" fillId="0" borderId="12" xfId="0" applyBorder="1"/>
    <xf numFmtId="0" fontId="25" fillId="0" borderId="12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2" fillId="5" borderId="12" xfId="0" applyFont="1" applyFill="1" applyBorder="1" applyAlignment="1">
      <alignment wrapText="1"/>
    </xf>
    <xf numFmtId="0" fontId="0" fillId="0" borderId="12" xfId="0" applyBorder="1" applyProtection="1">
      <protection locked="0"/>
    </xf>
    <xf numFmtId="0" fontId="2" fillId="5" borderId="9" xfId="0" applyFont="1" applyFill="1" applyBorder="1" applyAlignment="1">
      <alignment vertical="center" wrapText="1"/>
    </xf>
    <xf numFmtId="0" fontId="28" fillId="0" borderId="16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0" fillId="0" borderId="10" xfId="0" applyBorder="1"/>
    <xf numFmtId="165" fontId="0" fillId="0" borderId="12" xfId="0" applyNumberFormat="1" applyBorder="1" applyAlignment="1">
      <alignment horizontal="right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0" fillId="0" borderId="12" xfId="0" applyBorder="1" applyAlignment="1">
      <alignment horizontal="right"/>
    </xf>
    <xf numFmtId="0" fontId="0" fillId="4" borderId="4" xfId="0" applyFill="1" applyBorder="1" applyAlignment="1">
      <alignment horizontal="left"/>
    </xf>
    <xf numFmtId="0" fontId="2" fillId="0" borderId="0" xfId="2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0" fillId="0" borderId="9" xfId="0" applyFont="1" applyBorder="1" applyAlignment="1">
      <alignment vertical="center" shrinkToFit="1"/>
    </xf>
    <xf numFmtId="0" fontId="21" fillId="0" borderId="1" xfId="0" applyFont="1" applyBorder="1" applyAlignment="1">
      <alignment shrinkToFit="1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3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2" fillId="0" borderId="8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65" fontId="1" fillId="0" borderId="12" xfId="0" applyNumberFormat="1" applyFont="1" applyBorder="1" applyAlignment="1">
      <alignment horizontal="right"/>
    </xf>
    <xf numFmtId="1" fontId="10" fillId="0" borderId="9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3" fontId="10" fillId="0" borderId="10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9" xfId="0" applyNumberFormat="1" applyBorder="1"/>
    <xf numFmtId="9" fontId="0" fillId="0" borderId="1" xfId="0" applyNumberFormat="1" applyBorder="1"/>
    <xf numFmtId="9" fontId="0" fillId="0" borderId="10" xfId="0" applyNumberFormat="1" applyBorder="1"/>
    <xf numFmtId="165" fontId="0" fillId="0" borderId="9" xfId="0" applyNumberFormat="1" applyBorder="1"/>
    <xf numFmtId="165" fontId="0" fillId="0" borderId="1" xfId="0" applyNumberFormat="1" applyBorder="1"/>
    <xf numFmtId="165" fontId="0" fillId="0" borderId="10" xfId="0" applyNumberFormat="1" applyBorder="1"/>
    <xf numFmtId="165" fontId="1" fillId="0" borderId="0" xfId="0" applyNumberFormat="1" applyFont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9" fontId="0" fillId="0" borderId="9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8" xfId="0" applyFont="1" applyBorder="1"/>
    <xf numFmtId="0" fontId="10" fillId="0" borderId="5" xfId="0" applyFont="1" applyBorder="1"/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7" fontId="0" fillId="4" borderId="5" xfId="0" applyNumberFormat="1" applyFill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0" xfId="0" applyFont="1" applyAlignment="1">
      <alignment vertical="center"/>
    </xf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2" fillId="0" borderId="1" xfId="0" applyFont="1" applyBorder="1"/>
    <xf numFmtId="0" fontId="11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/>
    <xf numFmtId="0" fontId="25" fillId="0" borderId="3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0" xfId="0" applyFont="1" applyBorder="1"/>
    <xf numFmtId="0" fontId="2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/>
    <xf numFmtId="0" fontId="12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/>
    <xf numFmtId="0" fontId="21" fillId="0" borderId="10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165" fontId="2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1" fontId="3" fillId="2" borderId="0" xfId="0" applyNumberFormat="1" applyFont="1" applyFill="1" applyAlignment="1">
      <alignment horizontal="center" vertical="center"/>
    </xf>
    <xf numFmtId="0" fontId="0" fillId="0" borderId="8" xfId="0" applyBorder="1" applyAlignment="1">
      <alignment wrapText="1"/>
    </xf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0" xfId="0" applyFont="1"/>
    <xf numFmtId="165" fontId="2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16" fillId="0" borderId="9" xfId="0" applyFont="1" applyBorder="1"/>
    <xf numFmtId="0" fontId="2" fillId="0" borderId="1" xfId="0" applyFont="1" applyBorder="1" applyProtection="1">
      <protection locked="0"/>
    </xf>
    <xf numFmtId="0" fontId="2" fillId="0" borderId="10" xfId="0" applyFont="1" applyBorder="1"/>
    <xf numFmtId="0" fontId="15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67" fontId="2" fillId="0" borderId="9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Border="1" applyAlignment="1" applyProtection="1">
      <alignment wrapText="1"/>
      <protection locked="0"/>
    </xf>
    <xf numFmtId="167" fontId="0" fillId="0" borderId="5" xfId="0" applyNumberForma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0" borderId="4" xfId="0" applyNumberFormat="1" applyBorder="1" applyAlignment="1">
      <alignment wrapText="1"/>
    </xf>
    <xf numFmtId="167" fontId="0" fillId="0" borderId="11" xfId="0" applyNumberFormat="1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0" borderId="7" xfId="0" applyBorder="1" applyProtection="1">
      <protection locked="0"/>
    </xf>
    <xf numFmtId="0" fontId="0" fillId="0" borderId="4" xfId="0" applyBorder="1"/>
    <xf numFmtId="0" fontId="12" fillId="0" borderId="0" xfId="0" applyFont="1" applyAlignment="1">
      <alignment horizontal="left" wrapText="1"/>
    </xf>
    <xf numFmtId="0" fontId="12" fillId="0" borderId="3" xfId="0" applyFont="1" applyBorder="1" applyAlignment="1">
      <alignment horizontal="left" wrapText="1"/>
    </xf>
    <xf numFmtId="3" fontId="20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1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0" fontId="10" fillId="0" borderId="1" xfId="0" applyFont="1" applyBorder="1"/>
    <xf numFmtId="0" fontId="10" fillId="0" borderId="10" xfId="0" applyFont="1" applyBorder="1"/>
    <xf numFmtId="165" fontId="0" fillId="0" borderId="0" xfId="0" applyNumberFormat="1"/>
    <xf numFmtId="9" fontId="0" fillId="0" borderId="0" xfId="0" applyNumberForma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41"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Drop" dropLines="5" dropStyle="combo" dx="20" fmlaLink="Aktionauswahl" fmlaRange="Aktionliste" sel="2" val="0"/>
</file>

<file path=xl/ctrlProps/ctrlProp3.xml><?xml version="1.0" encoding="utf-8"?>
<formControlPr xmlns="http://schemas.microsoft.com/office/spreadsheetml/2009/9/main" objectType="Drop" dropLines="11" dropStyle="combo" dx="20" fmlaLink="Foeauswahl" fmlaRange="Fansatzliste" sel="2" val="0"/>
</file>

<file path=xl/ctrlProps/ctrlProp4.xml><?xml version="1.0" encoding="utf-8"?>
<formControlPr xmlns="http://schemas.microsoft.com/office/spreadsheetml/2009/9/main" objectType="Drop" dropStyle="combo" dx="20" fmlaLink="ZGauswahl" fmlaRange="ZGliste" sel="2" val="0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TNrlpauswahl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Auswahl!$C$14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Auswahl!$C$15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Auswahl!$C$17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Auswahl!$C$16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Entschuldung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EuropaIch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Akauswahl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firstButton="1" fmlaLink="edwdAuswahl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CheckBox" fmlaLink="Auswahl!$C$10" lockText="1" noThreeD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fmlaLink="DOKU_Verk!$A$5" lockText="1" noThreeD="1"/>
</file>

<file path=xl/ctrlProps/ctrlProp45.xml><?xml version="1.0" encoding="utf-8"?>
<formControlPr xmlns="http://schemas.microsoft.com/office/spreadsheetml/2009/9/main" objectType="CheckBox" fmlaLink="DOKU_Verk!$A$6" lockText="1" noThreeD="1"/>
</file>

<file path=xl/ctrlProps/ctrlProp46.xml><?xml version="1.0" encoding="utf-8"?>
<formControlPr xmlns="http://schemas.microsoft.com/office/spreadsheetml/2009/9/main" objectType="CheckBox" fmlaLink="DOKU_Verk!$A$7" lockText="1" noThreeD="1"/>
</file>

<file path=xl/ctrlProps/ctrlProp47.xml><?xml version="1.0" encoding="utf-8"?>
<formControlPr xmlns="http://schemas.microsoft.com/office/spreadsheetml/2009/9/main" objectType="CheckBox" fmlaLink="DOKU_Verk!$C$5" lockText="1" noThreeD="1"/>
</file>

<file path=xl/ctrlProps/ctrlProp48.xml><?xml version="1.0" encoding="utf-8"?>
<formControlPr xmlns="http://schemas.microsoft.com/office/spreadsheetml/2009/9/main" objectType="CheckBox" fmlaLink="DOKU_Verk!$C$6" lockText="1" noThreeD="1"/>
</file>

<file path=xl/ctrlProps/ctrlProp49.xml><?xml version="1.0" encoding="utf-8"?>
<formControlPr xmlns="http://schemas.microsoft.com/office/spreadsheetml/2009/9/main" objectType="CheckBox" fmlaLink="DOKU_Verk!$C$7" lockText="1" noThreeD="1"/>
</file>

<file path=xl/ctrlProps/ctrlProp50.xml><?xml version="1.0" encoding="utf-8"?>
<formControlPr xmlns="http://schemas.microsoft.com/office/spreadsheetml/2009/9/main" objectType="CheckBox" fmlaLink="DOKU_Verk!$E$7" lockText="1" noThreeD="1"/>
</file>

<file path=xl/ctrlProps/ctrlProp51.xml><?xml version="1.0" encoding="utf-8"?>
<formControlPr xmlns="http://schemas.microsoft.com/office/spreadsheetml/2009/9/main" objectType="CheckBox" fmlaLink="DOKU_Verk!$E$5" lockText="1" noThreeD="1"/>
</file>

<file path=xl/ctrlProps/ctrlProp52.xml><?xml version="1.0" encoding="utf-8"?>
<formControlPr xmlns="http://schemas.microsoft.com/office/spreadsheetml/2009/9/main" objectType="CheckBox" fmlaLink="DOKU_Verk!$E$6" lockText="1" noThreeD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56.xml><?xml version="1.0" encoding="utf-8"?>
<formControlPr xmlns="http://schemas.microsoft.com/office/spreadsheetml/2009/9/main" objectType="CheckBox" fmlaLink="DOKU_Verk!$G$7" lockText="1" noThreeD="1"/>
</file>

<file path=xl/ctrlProps/ctrlProp57.xml><?xml version="1.0" encoding="utf-8"?>
<formControlPr xmlns="http://schemas.microsoft.com/office/spreadsheetml/2009/9/main" objectType="CheckBox" fmlaLink="DOKU_Verk!$G$5" lockText="1" noThreeD="1"/>
</file>

<file path=xl/ctrlProps/ctrlProp58.xml><?xml version="1.0" encoding="utf-8"?>
<formControlPr xmlns="http://schemas.microsoft.com/office/spreadsheetml/2009/9/main" objectType="CheckBox" fmlaLink="DOKU_Verk!$G$6" lockText="1" noThreeD="1"/>
</file>

<file path=xl/ctrlProps/ctrlProp59.xml><?xml version="1.0" encoding="utf-8"?>
<formControlPr xmlns="http://schemas.microsoft.com/office/spreadsheetml/2009/9/main" objectType="Drop" dropLines="36" dropStyle="combo" dx="20" fmlaLink="Dokufansatzauswahl" fmlaRange="FAnsatz!$Q$2:$Q$23" noThreeD="1" sel="1" val="0"/>
</file>

<file path=xl/ctrlProps/ctrlProp60.xml><?xml version="1.0" encoding="utf-8"?>
<formControlPr xmlns="http://schemas.microsoft.com/office/spreadsheetml/2009/9/main" objectType="CheckBox" fmlaLink="DOKU_Verk!$I$5" lockText="1" noThreeD="1"/>
</file>

<file path=xl/ctrlProps/ctrlProp61.xml><?xml version="1.0" encoding="utf-8"?>
<formControlPr xmlns="http://schemas.microsoft.com/office/spreadsheetml/2009/9/main" objectType="CheckBox" fmlaLink="DOKU_Verk!$I$6" lockText="1" noThreeD="1"/>
</file>

<file path=xl/ctrlProps/ctrlProp62.xml><?xml version="1.0" encoding="utf-8"?>
<formControlPr xmlns="http://schemas.microsoft.com/office/spreadsheetml/2009/9/main" objectType="CheckBox" fmlaLink="DOKU_Verk!$I$7" lockText="1" noThreeD="1"/>
</file>

<file path=xl/ctrlProps/ctrlProp63.xml><?xml version="1.0" encoding="utf-8"?>
<formControlPr xmlns="http://schemas.microsoft.com/office/spreadsheetml/2009/9/main" objectType="CheckBox" fmlaLink="DOKU_Verk!$S$5" lockText="1" noThreeD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firstButton="1" fmlaLink="Prioauswahl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BewertungBS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82.xml><?xml version="1.0" encoding="utf-8"?>
<formControlPr xmlns="http://schemas.microsoft.com/office/spreadsheetml/2009/9/main" objectType="Drop" dropLines="12" dropStyle="combo" dx="20" fmlaLink="Auswahl!$C$28" fmlaRange="Bedarfbest!$A$1:$A$11" noThreeD="1" sel="1" val="0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316" name="Rectangle 360">
          <a:extLst>
            <a:ext uri="{FF2B5EF4-FFF2-40B4-BE49-F238E27FC236}">
              <a16:creationId xmlns:a16="http://schemas.microsoft.com/office/drawing/2014/main" id="{00000000-0008-0000-0000-0000EC37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2781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190500</xdr:rowOff>
        </xdr:from>
        <xdr:to>
          <xdr:col>17</xdr:col>
          <xdr:colOff>160020</xdr:colOff>
          <xdr:row>37</xdr:row>
          <xdr:rowOff>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41</xdr:row>
          <xdr:rowOff>0</xdr:rowOff>
        </xdr:from>
        <xdr:to>
          <xdr:col>27</xdr:col>
          <xdr:colOff>365760</xdr:colOff>
          <xdr:row>41</xdr:row>
          <xdr:rowOff>297180</xdr:rowOff>
        </xdr:to>
        <xdr:sp macro="" textlink="">
          <xdr:nvSpPr>
            <xdr:cNvPr id="2213" name="Aktion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0</xdr:rowOff>
        </xdr:from>
        <xdr:to>
          <xdr:col>24</xdr:col>
          <xdr:colOff>304800</xdr:colOff>
          <xdr:row>43</xdr:row>
          <xdr:rowOff>213360</xdr:rowOff>
        </xdr:to>
        <xdr:sp macro="" textlink="">
          <xdr:nvSpPr>
            <xdr:cNvPr id="2231" name="Fansatz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45</xdr:row>
          <xdr:rowOff>60960</xdr:rowOff>
        </xdr:from>
        <xdr:to>
          <xdr:col>22</xdr:col>
          <xdr:colOff>190500</xdr:colOff>
          <xdr:row>45</xdr:row>
          <xdr:rowOff>236220</xdr:rowOff>
        </xdr:to>
        <xdr:sp macro="" textlink="">
          <xdr:nvSpPr>
            <xdr:cNvPr id="2234" name="ZG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18</xdr:col>
          <xdr:colOff>205740</xdr:colOff>
          <xdr:row>35</xdr:row>
          <xdr:rowOff>0</xdr:rowOff>
        </xdr:to>
        <xdr:sp macro="" textlink="">
          <xdr:nvSpPr>
            <xdr:cNvPr id="2399" name="wdedauswahl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7620</xdr:rowOff>
        </xdr:from>
        <xdr:to>
          <xdr:col>25</xdr:col>
          <xdr:colOff>144780</xdr:colOff>
          <xdr:row>50</xdr:row>
          <xdr:rowOff>7620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48</xdr:row>
          <xdr:rowOff>7620</xdr:rowOff>
        </xdr:from>
        <xdr:to>
          <xdr:col>12</xdr:col>
          <xdr:colOff>76200</xdr:colOff>
          <xdr:row>49</xdr:row>
          <xdr:rowOff>38100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</xdr:row>
          <xdr:rowOff>38100</xdr:rowOff>
        </xdr:from>
        <xdr:to>
          <xdr:col>15</xdr:col>
          <xdr:colOff>426720</xdr:colOff>
          <xdr:row>49</xdr:row>
          <xdr:rowOff>22860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141</xdr:row>
          <xdr:rowOff>0</xdr:rowOff>
        </xdr:from>
        <xdr:to>
          <xdr:col>12</xdr:col>
          <xdr:colOff>0</xdr:colOff>
          <xdr:row>144</xdr:row>
          <xdr:rowOff>7620</xdr:rowOff>
        </xdr:to>
        <xdr:sp macro="" textlink="">
          <xdr:nvSpPr>
            <xdr:cNvPr id="2417" name="Gleichstellung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141</xdr:row>
          <xdr:rowOff>60960</xdr:rowOff>
        </xdr:from>
        <xdr:to>
          <xdr:col>9</xdr:col>
          <xdr:colOff>152400</xdr:colOff>
          <xdr:row>141</xdr:row>
          <xdr:rowOff>327660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142</xdr:row>
          <xdr:rowOff>45720</xdr:rowOff>
        </xdr:from>
        <xdr:to>
          <xdr:col>9</xdr:col>
          <xdr:colOff>152400</xdr:colOff>
          <xdr:row>142</xdr:row>
          <xdr:rowOff>266700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143</xdr:row>
          <xdr:rowOff>76200</xdr:rowOff>
        </xdr:from>
        <xdr:to>
          <xdr:col>9</xdr:col>
          <xdr:colOff>152400</xdr:colOff>
          <xdr:row>143</xdr:row>
          <xdr:rowOff>297180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141</xdr:row>
          <xdr:rowOff>0</xdr:rowOff>
        </xdr:from>
        <xdr:to>
          <xdr:col>16</xdr:col>
          <xdr:colOff>7620</xdr:colOff>
          <xdr:row>144</xdr:row>
          <xdr:rowOff>0</xdr:rowOff>
        </xdr:to>
        <xdr:sp macro="" textlink="">
          <xdr:nvSpPr>
            <xdr:cNvPr id="2421" name="Nichtdiskriminierung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141</xdr:row>
          <xdr:rowOff>53340</xdr:rowOff>
        </xdr:from>
        <xdr:to>
          <xdr:col>15</xdr:col>
          <xdr:colOff>320040</xdr:colOff>
          <xdr:row>141</xdr:row>
          <xdr:rowOff>312420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45720</xdr:rowOff>
        </xdr:from>
        <xdr:to>
          <xdr:col>15</xdr:col>
          <xdr:colOff>312420</xdr:colOff>
          <xdr:row>142</xdr:row>
          <xdr:rowOff>266700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243840</xdr:colOff>
          <xdr:row>143</xdr:row>
          <xdr:rowOff>106680</xdr:rowOff>
        </xdr:from>
        <xdr:to>
          <xdr:col>15</xdr:col>
          <xdr:colOff>312420</xdr:colOff>
          <xdr:row>143</xdr:row>
          <xdr:rowOff>251460</xdr:rowOff>
        </xdr:to>
        <xdr:sp macro="" textlink="">
          <xdr:nvSpPr>
            <xdr:cNvPr id="2424" name="Option Button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141</xdr:row>
          <xdr:rowOff>0</xdr:rowOff>
        </xdr:from>
        <xdr:to>
          <xdr:col>24</xdr:col>
          <xdr:colOff>0</xdr:colOff>
          <xdr:row>144</xdr:row>
          <xdr:rowOff>0</xdr:rowOff>
        </xdr:to>
        <xdr:sp macro="" textlink="">
          <xdr:nvSpPr>
            <xdr:cNvPr id="2425" name="Transnationalauswahl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141</xdr:row>
          <xdr:rowOff>0</xdr:rowOff>
        </xdr:from>
        <xdr:to>
          <xdr:col>27</xdr:col>
          <xdr:colOff>388620</xdr:colOff>
          <xdr:row>144</xdr:row>
          <xdr:rowOff>7620</xdr:rowOff>
        </xdr:to>
        <xdr:sp macro="" textlink="">
          <xdr:nvSpPr>
            <xdr:cNvPr id="2428" name="Nachhaltige Entwicklung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220980</xdr:colOff>
          <xdr:row>141</xdr:row>
          <xdr:rowOff>83820</xdr:rowOff>
        </xdr:from>
        <xdr:to>
          <xdr:col>26</xdr:col>
          <xdr:colOff>274320</xdr:colOff>
          <xdr:row>142</xdr:row>
          <xdr:rowOff>0</xdr:rowOff>
        </xdr:to>
        <xdr:sp macro="" textlink="">
          <xdr:nvSpPr>
            <xdr:cNvPr id="2429" name="Option Button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220980</xdr:colOff>
          <xdr:row>142</xdr:row>
          <xdr:rowOff>30480</xdr:rowOff>
        </xdr:from>
        <xdr:to>
          <xdr:col>26</xdr:col>
          <xdr:colOff>274320</xdr:colOff>
          <xdr:row>142</xdr:row>
          <xdr:rowOff>251460</xdr:rowOff>
        </xdr:to>
        <xdr:sp macro="" textlink="">
          <xdr:nvSpPr>
            <xdr:cNvPr id="2430" name="Option Button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220980</xdr:colOff>
          <xdr:row>143</xdr:row>
          <xdr:rowOff>45720</xdr:rowOff>
        </xdr:from>
        <xdr:to>
          <xdr:col>26</xdr:col>
          <xdr:colOff>281940</xdr:colOff>
          <xdr:row>143</xdr:row>
          <xdr:rowOff>266700</xdr:rowOff>
        </xdr:to>
        <xdr:sp macro="" textlink="">
          <xdr:nvSpPr>
            <xdr:cNvPr id="2431" name="Option Button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141</xdr:row>
          <xdr:rowOff>76200</xdr:rowOff>
        </xdr:from>
        <xdr:to>
          <xdr:col>20</xdr:col>
          <xdr:colOff>129540</xdr:colOff>
          <xdr:row>142</xdr:row>
          <xdr:rowOff>0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142</xdr:row>
          <xdr:rowOff>38100</xdr:rowOff>
        </xdr:from>
        <xdr:to>
          <xdr:col>20</xdr:col>
          <xdr:colOff>137160</xdr:colOff>
          <xdr:row>142</xdr:row>
          <xdr:rowOff>259080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143</xdr:row>
          <xdr:rowOff>53340</xdr:rowOff>
        </xdr:from>
        <xdr:to>
          <xdr:col>20</xdr:col>
          <xdr:colOff>121920</xdr:colOff>
          <xdr:row>143</xdr:row>
          <xdr:rowOff>289560</xdr:rowOff>
        </xdr:to>
        <xdr:sp macro="" textlink="">
          <xdr:nvSpPr>
            <xdr:cNvPr id="2437" name="Option Button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151</xdr:row>
          <xdr:rowOff>22860</xdr:rowOff>
        </xdr:from>
        <xdr:to>
          <xdr:col>8</xdr:col>
          <xdr:colOff>0</xdr:colOff>
          <xdr:row>153</xdr:row>
          <xdr:rowOff>7620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151</xdr:row>
          <xdr:rowOff>45720</xdr:rowOff>
        </xdr:from>
        <xdr:to>
          <xdr:col>3</xdr:col>
          <xdr:colOff>175260</xdr:colOff>
          <xdr:row>152</xdr:row>
          <xdr:rowOff>99060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151</xdr:row>
          <xdr:rowOff>38100</xdr:rowOff>
        </xdr:from>
        <xdr:to>
          <xdr:col>7</xdr:col>
          <xdr:colOff>60960</xdr:colOff>
          <xdr:row>152</xdr:row>
          <xdr:rowOff>114300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154</xdr:row>
          <xdr:rowOff>152400</xdr:rowOff>
        </xdr:from>
        <xdr:to>
          <xdr:col>8</xdr:col>
          <xdr:colOff>22860</xdr:colOff>
          <xdr:row>158</xdr:row>
          <xdr:rowOff>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155</xdr:row>
          <xdr:rowOff>22860</xdr:rowOff>
        </xdr:from>
        <xdr:to>
          <xdr:col>3</xdr:col>
          <xdr:colOff>99060</xdr:colOff>
          <xdr:row>156</xdr:row>
          <xdr:rowOff>83820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155</xdr:row>
          <xdr:rowOff>22860</xdr:rowOff>
        </xdr:from>
        <xdr:to>
          <xdr:col>5</xdr:col>
          <xdr:colOff>45720</xdr:colOff>
          <xdr:row>156</xdr:row>
          <xdr:rowOff>76200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0</xdr:rowOff>
        </xdr:from>
        <xdr:to>
          <xdr:col>17</xdr:col>
          <xdr:colOff>205740</xdr:colOff>
          <xdr:row>26</xdr:row>
          <xdr:rowOff>7620</xdr:rowOff>
        </xdr:to>
        <xdr:sp macro="" textlink="">
          <xdr:nvSpPr>
            <xdr:cNvPr id="2453" name="Group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25</xdr:row>
          <xdr:rowOff>60960</xdr:rowOff>
        </xdr:from>
        <xdr:to>
          <xdr:col>13</xdr:col>
          <xdr:colOff>99060</xdr:colOff>
          <xdr:row>25</xdr:row>
          <xdr:rowOff>251460</xdr:rowOff>
        </xdr:to>
        <xdr:sp macro="" textlink="">
          <xdr:nvSpPr>
            <xdr:cNvPr id="2458" name="Option Button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137160</xdr:colOff>
          <xdr:row>25</xdr:row>
          <xdr:rowOff>76200</xdr:rowOff>
        </xdr:from>
        <xdr:to>
          <xdr:col>15</xdr:col>
          <xdr:colOff>175260</xdr:colOff>
          <xdr:row>26</xdr:row>
          <xdr:rowOff>7620</xdr:rowOff>
        </xdr:to>
        <xdr:sp macro="" textlink="">
          <xdr:nvSpPr>
            <xdr:cNvPr id="2459" name="Option Button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106680</xdr:rowOff>
        </xdr:from>
        <xdr:to>
          <xdr:col>18</xdr:col>
          <xdr:colOff>60960</xdr:colOff>
          <xdr:row>34</xdr:row>
          <xdr:rowOff>137160</xdr:rowOff>
        </xdr:to>
        <xdr:sp macro="" textlink="">
          <xdr:nvSpPr>
            <xdr:cNvPr id="14284" name="Option Button 1996" descr="ed:erstmalige Durchführung" hidden="1">
              <a:extLst>
                <a:ext uri="{63B3BB69-23CF-44E3-9099-C40C66FF867C}">
                  <a14:compatExt spid="_x0000_s14284"/>
                </a:ext>
                <a:ext uri="{FF2B5EF4-FFF2-40B4-BE49-F238E27FC236}">
                  <a16:creationId xmlns:a16="http://schemas.microsoft.com/office/drawing/2014/main" id="{00000000-0008-0000-0000-0000C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23</xdr:row>
          <xdr:rowOff>160020</xdr:rowOff>
        </xdr:from>
        <xdr:to>
          <xdr:col>17</xdr:col>
          <xdr:colOff>182880</xdr:colOff>
          <xdr:row>26</xdr:row>
          <xdr:rowOff>0</xdr:rowOff>
        </xdr:to>
        <xdr:sp macro="" textlink="">
          <xdr:nvSpPr>
            <xdr:cNvPr id="14295" name="Group Box 2007" hidden="1">
              <a:extLst>
                <a:ext uri="{63B3BB69-23CF-44E3-9099-C40C66FF867C}">
                  <a14:compatExt spid="_x0000_s14295"/>
                </a:ext>
                <a:ext uri="{FF2B5EF4-FFF2-40B4-BE49-F238E27FC236}">
                  <a16:creationId xmlns:a16="http://schemas.microsoft.com/office/drawing/2014/main" id="{00000000-0008-0000-0000-0000D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76200</xdr:rowOff>
    </xdr:from>
    <xdr:to>
      <xdr:col>6</xdr:col>
      <xdr:colOff>68315</xdr:colOff>
      <xdr:row>5</xdr:row>
      <xdr:rowOff>92674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76200"/>
          <a:ext cx="1335140" cy="1054699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0</xdr:row>
      <xdr:rowOff>104775</xdr:rowOff>
    </xdr:from>
    <xdr:to>
      <xdr:col>27</xdr:col>
      <xdr:colOff>34464</xdr:colOff>
      <xdr:row>5</xdr:row>
      <xdr:rowOff>78574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2975" y="104775"/>
          <a:ext cx="2011854" cy="10120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33</xdr:row>
          <xdr:rowOff>83820</xdr:rowOff>
        </xdr:from>
        <xdr:to>
          <xdr:col>17</xdr:col>
          <xdr:colOff>205740</xdr:colOff>
          <xdr:row>34</xdr:row>
          <xdr:rowOff>121920</xdr:rowOff>
        </xdr:to>
        <xdr:sp macro="" textlink="">
          <xdr:nvSpPr>
            <xdr:cNvPr id="14298" name="Option Button 2010" descr="ed:erstmalige Durchführung" hidden="1">
              <a:extLst>
                <a:ext uri="{63B3BB69-23CF-44E3-9099-C40C66FF867C}">
                  <a14:compatExt spid="_x0000_s14298"/>
                </a:ext>
                <a:ext uri="{FF2B5EF4-FFF2-40B4-BE49-F238E27FC236}">
                  <a16:creationId xmlns:a16="http://schemas.microsoft.com/office/drawing/2014/main" id="{00000000-0008-0000-0000-0000D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7620</xdr:rowOff>
        </xdr:from>
        <xdr:to>
          <xdr:col>18</xdr:col>
          <xdr:colOff>205740</xdr:colOff>
          <xdr:row>35</xdr:row>
          <xdr:rowOff>0</xdr:rowOff>
        </xdr:to>
        <xdr:sp macro="" textlink="">
          <xdr:nvSpPr>
            <xdr:cNvPr id="14299" name="Group Box 2011" hidden="1">
              <a:extLst>
                <a:ext uri="{63B3BB69-23CF-44E3-9099-C40C66FF867C}">
                  <a14:compatExt spid="_x0000_s14299"/>
                </a:ext>
                <a:ext uri="{FF2B5EF4-FFF2-40B4-BE49-F238E27FC236}">
                  <a16:creationId xmlns:a16="http://schemas.microsoft.com/office/drawing/2014/main" id="{00000000-0008-0000-0000-0000D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160020</xdr:colOff>
          <xdr:row>27</xdr:row>
          <xdr:rowOff>449580</xdr:rowOff>
        </xdr:from>
        <xdr:to>
          <xdr:col>21</xdr:col>
          <xdr:colOff>22860</xdr:colOff>
          <xdr:row>27</xdr:row>
          <xdr:rowOff>655320</xdr:rowOff>
        </xdr:to>
        <xdr:sp macro="" textlink="">
          <xdr:nvSpPr>
            <xdr:cNvPr id="14310" name="Check Box 2022" hidden="1">
              <a:extLst>
                <a:ext uri="{63B3BB69-23CF-44E3-9099-C40C66FF867C}">
                  <a14:compatExt spid="_x0000_s14310"/>
                </a:ext>
                <a:ext uri="{FF2B5EF4-FFF2-40B4-BE49-F238E27FC236}">
                  <a16:creationId xmlns:a16="http://schemas.microsoft.com/office/drawing/2014/main" id="{00000000-0008-0000-0000-0000E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20</xdr:row>
          <xdr:rowOff>160020</xdr:rowOff>
        </xdr:from>
        <xdr:to>
          <xdr:col>8</xdr:col>
          <xdr:colOff>289560</xdr:colOff>
          <xdr:row>22</xdr:row>
          <xdr:rowOff>45720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144780</xdr:rowOff>
        </xdr:from>
        <xdr:to>
          <xdr:col>13</xdr:col>
          <xdr:colOff>60960</xdr:colOff>
          <xdr:row>22</xdr:row>
          <xdr:rowOff>68580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7620</xdr:rowOff>
        </xdr:from>
        <xdr:to>
          <xdr:col>30</xdr:col>
          <xdr:colOff>175260</xdr:colOff>
          <xdr:row>22</xdr:row>
          <xdr:rowOff>220980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17</xdr:row>
          <xdr:rowOff>15240</xdr:rowOff>
        </xdr:from>
        <xdr:to>
          <xdr:col>6</xdr:col>
          <xdr:colOff>30480</xdr:colOff>
          <xdr:row>17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9</xdr:col>
          <xdr:colOff>7620</xdr:colOff>
          <xdr:row>17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76200</xdr:rowOff>
        </xdr:from>
        <xdr:to>
          <xdr:col>13</xdr:col>
          <xdr:colOff>22860</xdr:colOff>
          <xdr:row>50</xdr:row>
          <xdr:rowOff>297180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83820</xdr:rowOff>
        </xdr:from>
        <xdr:to>
          <xdr:col>16</xdr:col>
          <xdr:colOff>22860</xdr:colOff>
          <xdr:row>50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50</xdr:row>
          <xdr:rowOff>83820</xdr:rowOff>
        </xdr:from>
        <xdr:to>
          <xdr:col>19</xdr:col>
          <xdr:colOff>7620</xdr:colOff>
          <xdr:row>50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83820</xdr:rowOff>
        </xdr:from>
        <xdr:to>
          <xdr:col>13</xdr:col>
          <xdr:colOff>22860</xdr:colOff>
          <xdr:row>51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83820</xdr:rowOff>
        </xdr:from>
        <xdr:to>
          <xdr:col>16</xdr:col>
          <xdr:colOff>22860</xdr:colOff>
          <xdr:row>51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51</xdr:row>
          <xdr:rowOff>83820</xdr:rowOff>
        </xdr:from>
        <xdr:to>
          <xdr:col>19</xdr:col>
          <xdr:colOff>7620</xdr:colOff>
          <xdr:row>51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52</xdr:row>
          <xdr:rowOff>38100</xdr:rowOff>
        </xdr:from>
        <xdr:to>
          <xdr:col>19</xdr:col>
          <xdr:colOff>22860</xdr:colOff>
          <xdr:row>52</xdr:row>
          <xdr:rowOff>259080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38100</xdr:rowOff>
        </xdr:from>
        <xdr:to>
          <xdr:col>13</xdr:col>
          <xdr:colOff>22860</xdr:colOff>
          <xdr:row>52</xdr:row>
          <xdr:rowOff>259080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38100</xdr:rowOff>
        </xdr:from>
        <xdr:to>
          <xdr:col>16</xdr:col>
          <xdr:colOff>22860</xdr:colOff>
          <xdr:row>52</xdr:row>
          <xdr:rowOff>259080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24</xdr:row>
          <xdr:rowOff>30480</xdr:rowOff>
        </xdr:from>
        <xdr:to>
          <xdr:col>8</xdr:col>
          <xdr:colOff>289560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24</xdr:row>
          <xdr:rowOff>30480</xdr:rowOff>
        </xdr:from>
        <xdr:to>
          <xdr:col>13</xdr:col>
          <xdr:colOff>106680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24</xdr:row>
          <xdr:rowOff>7620</xdr:rowOff>
        </xdr:from>
        <xdr:to>
          <xdr:col>30</xdr:col>
          <xdr:colOff>175260</xdr:colOff>
          <xdr:row>24</xdr:row>
          <xdr:rowOff>213360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53</xdr:row>
          <xdr:rowOff>38100</xdr:rowOff>
        </xdr:from>
        <xdr:to>
          <xdr:col>19</xdr:col>
          <xdr:colOff>7620</xdr:colOff>
          <xdr:row>53</xdr:row>
          <xdr:rowOff>350520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45720</xdr:rowOff>
        </xdr:from>
        <xdr:to>
          <xdr:col>13</xdr:col>
          <xdr:colOff>22860</xdr:colOff>
          <xdr:row>53</xdr:row>
          <xdr:rowOff>327660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45720</xdr:rowOff>
        </xdr:from>
        <xdr:to>
          <xdr:col>16</xdr:col>
          <xdr:colOff>22860</xdr:colOff>
          <xdr:row>53</xdr:row>
          <xdr:rowOff>327660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22860</xdr:rowOff>
        </xdr:from>
        <xdr:to>
          <xdr:col>30</xdr:col>
          <xdr:colOff>175260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54</xdr:row>
          <xdr:rowOff>45720</xdr:rowOff>
        </xdr:from>
        <xdr:to>
          <xdr:col>13</xdr:col>
          <xdr:colOff>22860</xdr:colOff>
          <xdr:row>54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45720</xdr:rowOff>
        </xdr:from>
        <xdr:to>
          <xdr:col>16</xdr:col>
          <xdr:colOff>22860</xdr:colOff>
          <xdr:row>54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54</xdr:row>
          <xdr:rowOff>45720</xdr:rowOff>
        </xdr:from>
        <xdr:to>
          <xdr:col>19</xdr:col>
          <xdr:colOff>7620</xdr:colOff>
          <xdr:row>54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56</xdr:row>
          <xdr:rowOff>0</xdr:rowOff>
        </xdr:from>
        <xdr:to>
          <xdr:col>13</xdr:col>
          <xdr:colOff>22860</xdr:colOff>
          <xdr:row>56</xdr:row>
          <xdr:rowOff>220980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26</xdr:row>
          <xdr:rowOff>38100</xdr:rowOff>
        </xdr:from>
        <xdr:to>
          <xdr:col>14</xdr:col>
          <xdr:colOff>152400</xdr:colOff>
          <xdr:row>26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</xdr:colOff>
          <xdr:row>26</xdr:row>
          <xdr:rowOff>30480</xdr:rowOff>
        </xdr:from>
        <xdr:to>
          <xdr:col>17</xdr:col>
          <xdr:colOff>45720</xdr:colOff>
          <xdr:row>26</xdr:row>
          <xdr:rowOff>259080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121920</xdr:colOff>
          <xdr:row>26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27</xdr:row>
          <xdr:rowOff>30480</xdr:rowOff>
        </xdr:from>
        <xdr:to>
          <xdr:col>14</xdr:col>
          <xdr:colOff>152400</xdr:colOff>
          <xdr:row>27</xdr:row>
          <xdr:rowOff>259080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27</xdr:row>
          <xdr:rowOff>30480</xdr:rowOff>
        </xdr:from>
        <xdr:to>
          <xdr:col>17</xdr:col>
          <xdr:colOff>68580</xdr:colOff>
          <xdr:row>27</xdr:row>
          <xdr:rowOff>259080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27</xdr:row>
          <xdr:rowOff>30480</xdr:rowOff>
        </xdr:from>
        <xdr:to>
          <xdr:col>19</xdr:col>
          <xdr:colOff>137160</xdr:colOff>
          <xdr:row>27</xdr:row>
          <xdr:rowOff>259080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36</xdr:row>
          <xdr:rowOff>182880</xdr:rowOff>
        </xdr:from>
        <xdr:to>
          <xdr:col>19</xdr:col>
          <xdr:colOff>60960</xdr:colOff>
          <xdr:row>38</xdr:row>
          <xdr:rowOff>30480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37</xdr:row>
          <xdr:rowOff>7620</xdr:rowOff>
        </xdr:from>
        <xdr:to>
          <xdr:col>28</xdr:col>
          <xdr:colOff>38100</xdr:colOff>
          <xdr:row>38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29</xdr:row>
          <xdr:rowOff>45720</xdr:rowOff>
        </xdr:from>
        <xdr:to>
          <xdr:col>14</xdr:col>
          <xdr:colOff>144780</xdr:colOff>
          <xdr:row>29</xdr:row>
          <xdr:rowOff>274320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29</xdr:row>
          <xdr:rowOff>30480</xdr:rowOff>
        </xdr:from>
        <xdr:to>
          <xdr:col>17</xdr:col>
          <xdr:colOff>76200</xdr:colOff>
          <xdr:row>29</xdr:row>
          <xdr:rowOff>259080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29</xdr:row>
          <xdr:rowOff>30480</xdr:rowOff>
        </xdr:from>
        <xdr:to>
          <xdr:col>19</xdr:col>
          <xdr:colOff>144780</xdr:colOff>
          <xdr:row>29</xdr:row>
          <xdr:rowOff>259080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37</xdr:row>
          <xdr:rowOff>220980</xdr:rowOff>
        </xdr:from>
        <xdr:to>
          <xdr:col>12</xdr:col>
          <xdr:colOff>175260</xdr:colOff>
          <xdr:row>38</xdr:row>
          <xdr:rowOff>213360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2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41</xdr:row>
          <xdr:rowOff>22860</xdr:rowOff>
        </xdr:from>
        <xdr:to>
          <xdr:col>27</xdr:col>
          <xdr:colOff>7620</xdr:colOff>
          <xdr:row>41</xdr:row>
          <xdr:rowOff>236220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41</xdr:row>
          <xdr:rowOff>22860</xdr:rowOff>
        </xdr:from>
        <xdr:to>
          <xdr:col>22</xdr:col>
          <xdr:colOff>297180</xdr:colOff>
          <xdr:row>41</xdr:row>
          <xdr:rowOff>236220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7620</xdr:rowOff>
        </xdr:from>
        <xdr:to>
          <xdr:col>31</xdr:col>
          <xdr:colOff>106680</xdr:colOff>
          <xdr:row>59</xdr:row>
          <xdr:rowOff>381000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59</xdr:row>
          <xdr:rowOff>99060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59</xdr:row>
          <xdr:rowOff>83820</xdr:rowOff>
        </xdr:from>
        <xdr:to>
          <xdr:col>22</xdr:col>
          <xdr:colOff>198120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32</xdr:row>
          <xdr:rowOff>0</xdr:rowOff>
        </xdr:from>
        <xdr:to>
          <xdr:col>8</xdr:col>
          <xdr:colOff>289560</xdr:colOff>
          <xdr:row>32</xdr:row>
          <xdr:rowOff>213360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31</xdr:row>
          <xdr:rowOff>60960</xdr:rowOff>
        </xdr:from>
        <xdr:to>
          <xdr:col>18</xdr:col>
          <xdr:colOff>144780</xdr:colOff>
          <xdr:row>31</xdr:row>
          <xdr:rowOff>236220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</xdr:colOff>
          <xdr:row>30</xdr:row>
          <xdr:rowOff>45720</xdr:rowOff>
        </xdr:from>
        <xdr:to>
          <xdr:col>29</xdr:col>
          <xdr:colOff>0</xdr:colOff>
          <xdr:row>30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129540</xdr:rowOff>
        </xdr:from>
        <xdr:to>
          <xdr:col>1</xdr:col>
          <xdr:colOff>121920</xdr:colOff>
          <xdr:row>79</xdr:row>
          <xdr:rowOff>175260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152400</xdr:rowOff>
        </xdr:from>
        <xdr:to>
          <xdr:col>11</xdr:col>
          <xdr:colOff>99060</xdr:colOff>
          <xdr:row>80</xdr:row>
          <xdr:rowOff>15240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152400</xdr:rowOff>
        </xdr:from>
        <xdr:to>
          <xdr:col>11</xdr:col>
          <xdr:colOff>121920</xdr:colOff>
          <xdr:row>87</xdr:row>
          <xdr:rowOff>175260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37</xdr:row>
          <xdr:rowOff>30480</xdr:rowOff>
        </xdr:from>
        <xdr:to>
          <xdr:col>24</xdr:col>
          <xdr:colOff>22860</xdr:colOff>
          <xdr:row>37</xdr:row>
          <xdr:rowOff>198120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213360</xdr:colOff>
          <xdr:row>59</xdr:row>
          <xdr:rowOff>83820</xdr:rowOff>
        </xdr:from>
        <xdr:to>
          <xdr:col>27</xdr:col>
          <xdr:colOff>99060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1</xdr:col>
          <xdr:colOff>121920</xdr:colOff>
          <xdr:row>82</xdr:row>
          <xdr:rowOff>22860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2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198120</xdr:rowOff>
        </xdr:from>
        <xdr:to>
          <xdr:col>1</xdr:col>
          <xdr:colOff>121920</xdr:colOff>
          <xdr:row>85</xdr:row>
          <xdr:rowOff>22860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2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121920</xdr:colOff>
          <xdr:row>81</xdr:row>
          <xdr:rowOff>22860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2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198120</xdr:rowOff>
        </xdr:from>
        <xdr:to>
          <xdr:col>1</xdr:col>
          <xdr:colOff>121920</xdr:colOff>
          <xdr:row>83</xdr:row>
          <xdr:rowOff>22860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2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0</xdr:rowOff>
        </xdr:from>
        <xdr:to>
          <xdr:col>1</xdr:col>
          <xdr:colOff>121920</xdr:colOff>
          <xdr:row>84</xdr:row>
          <xdr:rowOff>22860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2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167640</xdr:rowOff>
        </xdr:from>
        <xdr:to>
          <xdr:col>1</xdr:col>
          <xdr:colOff>121920</xdr:colOff>
          <xdr:row>87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2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1</xdr:col>
          <xdr:colOff>121920</xdr:colOff>
          <xdr:row>86</xdr:row>
          <xdr:rowOff>22860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2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190500</xdr:rowOff>
        </xdr:from>
        <xdr:to>
          <xdr:col>11</xdr:col>
          <xdr:colOff>99060</xdr:colOff>
          <xdr:row>81</xdr:row>
          <xdr:rowOff>30480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2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198120</xdr:rowOff>
        </xdr:from>
        <xdr:to>
          <xdr:col>11</xdr:col>
          <xdr:colOff>121920</xdr:colOff>
          <xdr:row>82</xdr:row>
          <xdr:rowOff>22860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2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198120</xdr:rowOff>
        </xdr:from>
        <xdr:to>
          <xdr:col>11</xdr:col>
          <xdr:colOff>121920</xdr:colOff>
          <xdr:row>82</xdr:row>
          <xdr:rowOff>22860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2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198120</xdr:rowOff>
        </xdr:from>
        <xdr:to>
          <xdr:col>11</xdr:col>
          <xdr:colOff>121920</xdr:colOff>
          <xdr:row>83</xdr:row>
          <xdr:rowOff>22860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2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198120</xdr:rowOff>
        </xdr:from>
        <xdr:to>
          <xdr:col>11</xdr:col>
          <xdr:colOff>121920</xdr:colOff>
          <xdr:row>84</xdr:row>
          <xdr:rowOff>22860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2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198120</xdr:rowOff>
        </xdr:from>
        <xdr:to>
          <xdr:col>11</xdr:col>
          <xdr:colOff>121920</xdr:colOff>
          <xdr:row>85</xdr:row>
          <xdr:rowOff>22860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2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198120</xdr:rowOff>
        </xdr:from>
        <xdr:to>
          <xdr:col>11</xdr:col>
          <xdr:colOff>121920</xdr:colOff>
          <xdr:row>86</xdr:row>
          <xdr:rowOff>22860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2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2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0</xdr:rowOff>
        </xdr:from>
        <xdr:to>
          <xdr:col>23</xdr:col>
          <xdr:colOff>22860</xdr:colOff>
          <xdr:row>82</xdr:row>
          <xdr:rowOff>22860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2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198120</xdr:rowOff>
        </xdr:from>
        <xdr:to>
          <xdr:col>23</xdr:col>
          <xdr:colOff>38100</xdr:colOff>
          <xdr:row>83</xdr:row>
          <xdr:rowOff>22860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2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82</xdr:row>
          <xdr:rowOff>198120</xdr:rowOff>
        </xdr:from>
        <xdr:to>
          <xdr:col>23</xdr:col>
          <xdr:colOff>22860</xdr:colOff>
          <xdr:row>84</xdr:row>
          <xdr:rowOff>22860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2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83</xdr:row>
          <xdr:rowOff>190500</xdr:rowOff>
        </xdr:from>
        <xdr:to>
          <xdr:col>23</xdr:col>
          <xdr:colOff>22860</xdr:colOff>
          <xdr:row>85</xdr:row>
          <xdr:rowOff>22860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2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85</xdr:row>
          <xdr:rowOff>198120</xdr:rowOff>
        </xdr:from>
        <xdr:to>
          <xdr:col>23</xdr:col>
          <xdr:colOff>22860</xdr:colOff>
          <xdr:row>87</xdr:row>
          <xdr:rowOff>22860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2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198120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2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0</xdr:rowOff>
        </xdr:from>
        <xdr:to>
          <xdr:col>11</xdr:col>
          <xdr:colOff>121920</xdr:colOff>
          <xdr:row>87</xdr:row>
          <xdr:rowOff>22860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2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87</xdr:row>
          <xdr:rowOff>0</xdr:rowOff>
        </xdr:from>
        <xdr:to>
          <xdr:col>23</xdr:col>
          <xdr:colOff>22860</xdr:colOff>
          <xdr:row>88</xdr:row>
          <xdr:rowOff>22860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2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85</xdr:row>
          <xdr:rowOff>198120</xdr:rowOff>
        </xdr:from>
        <xdr:to>
          <xdr:col>23</xdr:col>
          <xdr:colOff>22860</xdr:colOff>
          <xdr:row>87</xdr:row>
          <xdr:rowOff>22860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2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85</xdr:row>
          <xdr:rowOff>198120</xdr:rowOff>
        </xdr:from>
        <xdr:to>
          <xdr:col>23</xdr:col>
          <xdr:colOff>22860</xdr:colOff>
          <xdr:row>87</xdr:row>
          <xdr:rowOff>22860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2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0</xdr:rowOff>
        </xdr:from>
        <xdr:to>
          <xdr:col>23</xdr:col>
          <xdr:colOff>38100</xdr:colOff>
          <xdr:row>82</xdr:row>
          <xdr:rowOff>22860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2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0</xdr:rowOff>
        </xdr:from>
        <xdr:to>
          <xdr:col>23</xdr:col>
          <xdr:colOff>38100</xdr:colOff>
          <xdr:row>82</xdr:row>
          <xdr:rowOff>22860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2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0</xdr:rowOff>
        </xdr:from>
        <xdr:to>
          <xdr:col>23</xdr:col>
          <xdr:colOff>22860</xdr:colOff>
          <xdr:row>82</xdr:row>
          <xdr:rowOff>22860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2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0</xdr:rowOff>
        </xdr:from>
        <xdr:to>
          <xdr:col>23</xdr:col>
          <xdr:colOff>22860</xdr:colOff>
          <xdr:row>82</xdr:row>
          <xdr:rowOff>22860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2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0</xdr:rowOff>
        </xdr:from>
        <xdr:to>
          <xdr:col>23</xdr:col>
          <xdr:colOff>38100</xdr:colOff>
          <xdr:row>82</xdr:row>
          <xdr:rowOff>22860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2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0</xdr:rowOff>
        </xdr:from>
        <xdr:to>
          <xdr:col>23</xdr:col>
          <xdr:colOff>38100</xdr:colOff>
          <xdr:row>82</xdr:row>
          <xdr:rowOff>22860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2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86</xdr:row>
          <xdr:rowOff>175260</xdr:rowOff>
        </xdr:from>
        <xdr:to>
          <xdr:col>1</xdr:col>
          <xdr:colOff>99060</xdr:colOff>
          <xdr:row>88</xdr:row>
          <xdr:rowOff>15240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2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17</xdr:row>
          <xdr:rowOff>0</xdr:rowOff>
        </xdr:from>
        <xdr:to>
          <xdr:col>25</xdr:col>
          <xdr:colOff>15240</xdr:colOff>
          <xdr:row>17</xdr:row>
          <xdr:rowOff>228600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2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17</xdr:row>
          <xdr:rowOff>15240</xdr:rowOff>
        </xdr:from>
        <xdr:to>
          <xdr:col>29</xdr:col>
          <xdr:colOff>99060</xdr:colOff>
          <xdr:row>18</xdr:row>
          <xdr:rowOff>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2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28</xdr:row>
          <xdr:rowOff>30480</xdr:rowOff>
        </xdr:from>
        <xdr:to>
          <xdr:col>14</xdr:col>
          <xdr:colOff>152400</xdr:colOff>
          <xdr:row>28</xdr:row>
          <xdr:rowOff>259080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2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28</xdr:row>
          <xdr:rowOff>30480</xdr:rowOff>
        </xdr:from>
        <xdr:to>
          <xdr:col>17</xdr:col>
          <xdr:colOff>68580</xdr:colOff>
          <xdr:row>28</xdr:row>
          <xdr:rowOff>259080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2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28</xdr:row>
          <xdr:rowOff>30480</xdr:rowOff>
        </xdr:from>
        <xdr:to>
          <xdr:col>19</xdr:col>
          <xdr:colOff>137160</xdr:colOff>
          <xdr:row>28</xdr:row>
          <xdr:rowOff>259080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2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79</xdr:row>
          <xdr:rowOff>0</xdr:rowOff>
        </xdr:from>
        <xdr:to>
          <xdr:col>23</xdr:col>
          <xdr:colOff>38100</xdr:colOff>
          <xdr:row>80</xdr:row>
          <xdr:rowOff>22860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2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79</xdr:row>
          <xdr:rowOff>0</xdr:rowOff>
        </xdr:from>
        <xdr:to>
          <xdr:col>23</xdr:col>
          <xdr:colOff>38100</xdr:colOff>
          <xdr:row>80</xdr:row>
          <xdr:rowOff>22860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2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22860</xdr:colOff>
          <xdr:row>81</xdr:row>
          <xdr:rowOff>22860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2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2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2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22860</xdr:colOff>
          <xdr:row>81</xdr:row>
          <xdr:rowOff>22860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2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22860</xdr:colOff>
          <xdr:row>81</xdr:row>
          <xdr:rowOff>22860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2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2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2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22860</xdr:colOff>
          <xdr:row>81</xdr:row>
          <xdr:rowOff>22860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2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198120</xdr:rowOff>
        </xdr:from>
        <xdr:to>
          <xdr:col>23</xdr:col>
          <xdr:colOff>38100</xdr:colOff>
          <xdr:row>82</xdr:row>
          <xdr:rowOff>22860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2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2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2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22860</xdr:colOff>
          <xdr:row>81</xdr:row>
          <xdr:rowOff>22860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2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22860</xdr:colOff>
          <xdr:row>81</xdr:row>
          <xdr:rowOff>22860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2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2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80</xdr:row>
          <xdr:rowOff>0</xdr:rowOff>
        </xdr:from>
        <xdr:to>
          <xdr:col>23</xdr:col>
          <xdr:colOff>38100</xdr:colOff>
          <xdr:row>81</xdr:row>
          <xdr:rowOff>22860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2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80</xdr:row>
          <xdr:rowOff>198120</xdr:rowOff>
        </xdr:from>
        <xdr:to>
          <xdr:col>23</xdr:col>
          <xdr:colOff>38100</xdr:colOff>
          <xdr:row>82</xdr:row>
          <xdr:rowOff>22860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2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198120</xdr:rowOff>
        </xdr:from>
        <xdr:to>
          <xdr:col>23</xdr:col>
          <xdr:colOff>22860</xdr:colOff>
          <xdr:row>83</xdr:row>
          <xdr:rowOff>22860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2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81</xdr:row>
          <xdr:rowOff>198120</xdr:rowOff>
        </xdr:from>
        <xdr:to>
          <xdr:col>23</xdr:col>
          <xdr:colOff>22860</xdr:colOff>
          <xdr:row>83</xdr:row>
          <xdr:rowOff>22860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2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82</xdr:row>
          <xdr:rowOff>190500</xdr:rowOff>
        </xdr:from>
        <xdr:to>
          <xdr:col>23</xdr:col>
          <xdr:colOff>22860</xdr:colOff>
          <xdr:row>84</xdr:row>
          <xdr:rowOff>22860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2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82</xdr:row>
          <xdr:rowOff>190500</xdr:rowOff>
        </xdr:from>
        <xdr:to>
          <xdr:col>23</xdr:col>
          <xdr:colOff>22860</xdr:colOff>
          <xdr:row>84</xdr:row>
          <xdr:rowOff>22860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2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83</xdr:row>
          <xdr:rowOff>198120</xdr:rowOff>
        </xdr:from>
        <xdr:to>
          <xdr:col>23</xdr:col>
          <xdr:colOff>22860</xdr:colOff>
          <xdr:row>85</xdr:row>
          <xdr:rowOff>22860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2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198120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2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83</xdr:row>
          <xdr:rowOff>198120</xdr:rowOff>
        </xdr:from>
        <xdr:to>
          <xdr:col>23</xdr:col>
          <xdr:colOff>22860</xdr:colOff>
          <xdr:row>85</xdr:row>
          <xdr:rowOff>22860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2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198120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2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198120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2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190500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2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85</xdr:row>
          <xdr:rowOff>198120</xdr:rowOff>
        </xdr:from>
        <xdr:to>
          <xdr:col>23</xdr:col>
          <xdr:colOff>22860</xdr:colOff>
          <xdr:row>87</xdr:row>
          <xdr:rowOff>22860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2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198120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2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85</xdr:row>
          <xdr:rowOff>198120</xdr:rowOff>
        </xdr:from>
        <xdr:to>
          <xdr:col>23</xdr:col>
          <xdr:colOff>22860</xdr:colOff>
          <xdr:row>87</xdr:row>
          <xdr:rowOff>22860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2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198120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2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85</xdr:row>
          <xdr:rowOff>198120</xdr:rowOff>
        </xdr:from>
        <xdr:to>
          <xdr:col>23</xdr:col>
          <xdr:colOff>22860</xdr:colOff>
          <xdr:row>87</xdr:row>
          <xdr:rowOff>22860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2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85</xdr:row>
          <xdr:rowOff>198120</xdr:rowOff>
        </xdr:from>
        <xdr:to>
          <xdr:col>23</xdr:col>
          <xdr:colOff>22860</xdr:colOff>
          <xdr:row>87</xdr:row>
          <xdr:rowOff>22860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2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83</xdr:row>
          <xdr:rowOff>198120</xdr:rowOff>
        </xdr:from>
        <xdr:to>
          <xdr:col>23</xdr:col>
          <xdr:colOff>22860</xdr:colOff>
          <xdr:row>85</xdr:row>
          <xdr:rowOff>22860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2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190500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2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83</xdr:row>
          <xdr:rowOff>190500</xdr:rowOff>
        </xdr:from>
        <xdr:to>
          <xdr:col>23</xdr:col>
          <xdr:colOff>22860</xdr:colOff>
          <xdr:row>85</xdr:row>
          <xdr:rowOff>22860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2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83</xdr:row>
          <xdr:rowOff>190500</xdr:rowOff>
        </xdr:from>
        <xdr:to>
          <xdr:col>23</xdr:col>
          <xdr:colOff>22860</xdr:colOff>
          <xdr:row>85</xdr:row>
          <xdr:rowOff>22860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2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198120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2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</xdr:colOff>
          <xdr:row>84</xdr:row>
          <xdr:rowOff>198120</xdr:rowOff>
        </xdr:from>
        <xdr:to>
          <xdr:col>23</xdr:col>
          <xdr:colOff>22860</xdr:colOff>
          <xdr:row>86</xdr:row>
          <xdr:rowOff>22860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2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9.xml"/><Relationship Id="rId117" Type="http://schemas.openxmlformats.org/officeDocument/2006/relationships/ctrlProp" Target="../ctrlProps/ctrlProp150.xml"/><Relationship Id="rId21" Type="http://schemas.openxmlformats.org/officeDocument/2006/relationships/ctrlProp" Target="../ctrlProps/ctrlProp54.xml"/><Relationship Id="rId42" Type="http://schemas.openxmlformats.org/officeDocument/2006/relationships/ctrlProp" Target="../ctrlProps/ctrlProp75.xml"/><Relationship Id="rId47" Type="http://schemas.openxmlformats.org/officeDocument/2006/relationships/ctrlProp" Target="../ctrlProps/ctrlProp80.xml"/><Relationship Id="rId63" Type="http://schemas.openxmlformats.org/officeDocument/2006/relationships/ctrlProp" Target="../ctrlProps/ctrlProp96.xml"/><Relationship Id="rId68" Type="http://schemas.openxmlformats.org/officeDocument/2006/relationships/ctrlProp" Target="../ctrlProps/ctrlProp101.xml"/><Relationship Id="rId84" Type="http://schemas.openxmlformats.org/officeDocument/2006/relationships/ctrlProp" Target="../ctrlProps/ctrlProp117.xml"/><Relationship Id="rId89" Type="http://schemas.openxmlformats.org/officeDocument/2006/relationships/ctrlProp" Target="../ctrlProps/ctrlProp122.xml"/><Relationship Id="rId112" Type="http://schemas.openxmlformats.org/officeDocument/2006/relationships/ctrlProp" Target="../ctrlProps/ctrlProp145.xml"/><Relationship Id="rId16" Type="http://schemas.openxmlformats.org/officeDocument/2006/relationships/ctrlProp" Target="../ctrlProps/ctrlProp49.xml"/><Relationship Id="rId107" Type="http://schemas.openxmlformats.org/officeDocument/2006/relationships/ctrlProp" Target="../ctrlProps/ctrlProp140.xml"/><Relationship Id="rId11" Type="http://schemas.openxmlformats.org/officeDocument/2006/relationships/ctrlProp" Target="../ctrlProps/ctrlProp44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3" Type="http://schemas.openxmlformats.org/officeDocument/2006/relationships/ctrlProp" Target="../ctrlProps/ctrlProp86.xml"/><Relationship Id="rId58" Type="http://schemas.openxmlformats.org/officeDocument/2006/relationships/ctrlProp" Target="../ctrlProps/ctrlProp91.xml"/><Relationship Id="rId74" Type="http://schemas.openxmlformats.org/officeDocument/2006/relationships/ctrlProp" Target="../ctrlProps/ctrlProp107.xml"/><Relationship Id="rId79" Type="http://schemas.openxmlformats.org/officeDocument/2006/relationships/ctrlProp" Target="../ctrlProps/ctrlProp112.xml"/><Relationship Id="rId102" Type="http://schemas.openxmlformats.org/officeDocument/2006/relationships/ctrlProp" Target="../ctrlProps/ctrlProp135.xml"/><Relationship Id="rId123" Type="http://schemas.openxmlformats.org/officeDocument/2006/relationships/ctrlProp" Target="../ctrlProps/ctrlProp156.xml"/><Relationship Id="rId128" Type="http://schemas.openxmlformats.org/officeDocument/2006/relationships/ctrlProp" Target="../ctrlProps/ctrlProp161.xml"/><Relationship Id="rId5" Type="http://schemas.openxmlformats.org/officeDocument/2006/relationships/vmlDrawing" Target="../drawings/vmlDrawing2.vml"/><Relationship Id="rId90" Type="http://schemas.openxmlformats.org/officeDocument/2006/relationships/ctrlProp" Target="../ctrlProps/ctrlProp123.xml"/><Relationship Id="rId95" Type="http://schemas.openxmlformats.org/officeDocument/2006/relationships/ctrlProp" Target="../ctrlProps/ctrlProp128.xml"/><Relationship Id="rId19" Type="http://schemas.openxmlformats.org/officeDocument/2006/relationships/ctrlProp" Target="../ctrlProps/ctrlProp5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Relationship Id="rId43" Type="http://schemas.openxmlformats.org/officeDocument/2006/relationships/ctrlProp" Target="../ctrlProps/ctrlProp76.xml"/><Relationship Id="rId48" Type="http://schemas.openxmlformats.org/officeDocument/2006/relationships/ctrlProp" Target="../ctrlProps/ctrlProp81.xml"/><Relationship Id="rId56" Type="http://schemas.openxmlformats.org/officeDocument/2006/relationships/ctrlProp" Target="../ctrlProps/ctrlProp89.xml"/><Relationship Id="rId64" Type="http://schemas.openxmlformats.org/officeDocument/2006/relationships/ctrlProp" Target="../ctrlProps/ctrlProp97.xml"/><Relationship Id="rId69" Type="http://schemas.openxmlformats.org/officeDocument/2006/relationships/ctrlProp" Target="../ctrlProps/ctrlProp102.xml"/><Relationship Id="rId77" Type="http://schemas.openxmlformats.org/officeDocument/2006/relationships/ctrlProp" Target="../ctrlProps/ctrlProp110.xml"/><Relationship Id="rId100" Type="http://schemas.openxmlformats.org/officeDocument/2006/relationships/ctrlProp" Target="../ctrlProps/ctrlProp133.xml"/><Relationship Id="rId105" Type="http://schemas.openxmlformats.org/officeDocument/2006/relationships/ctrlProp" Target="../ctrlProps/ctrlProp138.xml"/><Relationship Id="rId113" Type="http://schemas.openxmlformats.org/officeDocument/2006/relationships/ctrlProp" Target="../ctrlProps/ctrlProp146.xml"/><Relationship Id="rId118" Type="http://schemas.openxmlformats.org/officeDocument/2006/relationships/ctrlProp" Target="../ctrlProps/ctrlProp151.xml"/><Relationship Id="rId126" Type="http://schemas.openxmlformats.org/officeDocument/2006/relationships/ctrlProp" Target="../ctrlProps/ctrlProp159.xml"/><Relationship Id="rId8" Type="http://schemas.openxmlformats.org/officeDocument/2006/relationships/ctrlProp" Target="../ctrlProps/ctrlProp41.xml"/><Relationship Id="rId51" Type="http://schemas.openxmlformats.org/officeDocument/2006/relationships/ctrlProp" Target="../ctrlProps/ctrlProp84.xml"/><Relationship Id="rId72" Type="http://schemas.openxmlformats.org/officeDocument/2006/relationships/ctrlProp" Target="../ctrlProps/ctrlProp105.xml"/><Relationship Id="rId80" Type="http://schemas.openxmlformats.org/officeDocument/2006/relationships/ctrlProp" Target="../ctrlProps/ctrlProp113.xml"/><Relationship Id="rId85" Type="http://schemas.openxmlformats.org/officeDocument/2006/relationships/ctrlProp" Target="../ctrlProps/ctrlProp118.xml"/><Relationship Id="rId93" Type="http://schemas.openxmlformats.org/officeDocument/2006/relationships/ctrlProp" Target="../ctrlProps/ctrlProp126.xml"/><Relationship Id="rId98" Type="http://schemas.openxmlformats.org/officeDocument/2006/relationships/ctrlProp" Target="../ctrlProps/ctrlProp131.xml"/><Relationship Id="rId121" Type="http://schemas.openxmlformats.org/officeDocument/2006/relationships/ctrlProp" Target="../ctrlProps/ctrlProp154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46" Type="http://schemas.openxmlformats.org/officeDocument/2006/relationships/ctrlProp" Target="../ctrlProps/ctrlProp79.xml"/><Relationship Id="rId59" Type="http://schemas.openxmlformats.org/officeDocument/2006/relationships/ctrlProp" Target="../ctrlProps/ctrlProp92.xml"/><Relationship Id="rId67" Type="http://schemas.openxmlformats.org/officeDocument/2006/relationships/ctrlProp" Target="../ctrlProps/ctrlProp100.xml"/><Relationship Id="rId103" Type="http://schemas.openxmlformats.org/officeDocument/2006/relationships/ctrlProp" Target="../ctrlProps/ctrlProp136.xml"/><Relationship Id="rId108" Type="http://schemas.openxmlformats.org/officeDocument/2006/relationships/ctrlProp" Target="../ctrlProps/ctrlProp141.xml"/><Relationship Id="rId116" Type="http://schemas.openxmlformats.org/officeDocument/2006/relationships/ctrlProp" Target="../ctrlProps/ctrlProp149.xml"/><Relationship Id="rId124" Type="http://schemas.openxmlformats.org/officeDocument/2006/relationships/ctrlProp" Target="../ctrlProps/ctrlProp157.xml"/><Relationship Id="rId129" Type="http://schemas.openxmlformats.org/officeDocument/2006/relationships/ctrlProp" Target="../ctrlProps/ctrlProp162.xml"/><Relationship Id="rId20" Type="http://schemas.openxmlformats.org/officeDocument/2006/relationships/ctrlProp" Target="../ctrlProps/ctrlProp53.xml"/><Relationship Id="rId41" Type="http://schemas.openxmlformats.org/officeDocument/2006/relationships/ctrlProp" Target="../ctrlProps/ctrlProp74.xml"/><Relationship Id="rId54" Type="http://schemas.openxmlformats.org/officeDocument/2006/relationships/ctrlProp" Target="../ctrlProps/ctrlProp87.xml"/><Relationship Id="rId62" Type="http://schemas.openxmlformats.org/officeDocument/2006/relationships/ctrlProp" Target="../ctrlProps/ctrlProp95.xml"/><Relationship Id="rId70" Type="http://schemas.openxmlformats.org/officeDocument/2006/relationships/ctrlProp" Target="../ctrlProps/ctrlProp103.xml"/><Relationship Id="rId75" Type="http://schemas.openxmlformats.org/officeDocument/2006/relationships/ctrlProp" Target="../ctrlProps/ctrlProp108.xml"/><Relationship Id="rId83" Type="http://schemas.openxmlformats.org/officeDocument/2006/relationships/ctrlProp" Target="../ctrlProps/ctrlProp116.xml"/><Relationship Id="rId88" Type="http://schemas.openxmlformats.org/officeDocument/2006/relationships/ctrlProp" Target="../ctrlProps/ctrlProp121.xml"/><Relationship Id="rId91" Type="http://schemas.openxmlformats.org/officeDocument/2006/relationships/ctrlProp" Target="../ctrlProps/ctrlProp124.xml"/><Relationship Id="rId96" Type="http://schemas.openxmlformats.org/officeDocument/2006/relationships/ctrlProp" Target="../ctrlProps/ctrlProp129.xml"/><Relationship Id="rId111" Type="http://schemas.openxmlformats.org/officeDocument/2006/relationships/ctrlProp" Target="../ctrlProps/ctrlProp144.xml"/><Relationship Id="rId132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49" Type="http://schemas.openxmlformats.org/officeDocument/2006/relationships/ctrlProp" Target="../ctrlProps/ctrlProp82.xml"/><Relationship Id="rId57" Type="http://schemas.openxmlformats.org/officeDocument/2006/relationships/ctrlProp" Target="../ctrlProps/ctrlProp90.xml"/><Relationship Id="rId106" Type="http://schemas.openxmlformats.org/officeDocument/2006/relationships/ctrlProp" Target="../ctrlProps/ctrlProp139.xml"/><Relationship Id="rId114" Type="http://schemas.openxmlformats.org/officeDocument/2006/relationships/ctrlProp" Target="../ctrlProps/ctrlProp147.xml"/><Relationship Id="rId119" Type="http://schemas.openxmlformats.org/officeDocument/2006/relationships/ctrlProp" Target="../ctrlProps/ctrlProp152.xml"/><Relationship Id="rId127" Type="http://schemas.openxmlformats.org/officeDocument/2006/relationships/ctrlProp" Target="../ctrlProps/ctrlProp160.xml"/><Relationship Id="rId10" Type="http://schemas.openxmlformats.org/officeDocument/2006/relationships/ctrlProp" Target="../ctrlProps/ctrlProp43.xml"/><Relationship Id="rId31" Type="http://schemas.openxmlformats.org/officeDocument/2006/relationships/ctrlProp" Target="../ctrlProps/ctrlProp64.xml"/><Relationship Id="rId44" Type="http://schemas.openxmlformats.org/officeDocument/2006/relationships/ctrlProp" Target="../ctrlProps/ctrlProp77.xml"/><Relationship Id="rId52" Type="http://schemas.openxmlformats.org/officeDocument/2006/relationships/ctrlProp" Target="../ctrlProps/ctrlProp85.xml"/><Relationship Id="rId60" Type="http://schemas.openxmlformats.org/officeDocument/2006/relationships/ctrlProp" Target="../ctrlProps/ctrlProp93.xml"/><Relationship Id="rId65" Type="http://schemas.openxmlformats.org/officeDocument/2006/relationships/ctrlProp" Target="../ctrlProps/ctrlProp98.xml"/><Relationship Id="rId73" Type="http://schemas.openxmlformats.org/officeDocument/2006/relationships/ctrlProp" Target="../ctrlProps/ctrlProp106.xml"/><Relationship Id="rId78" Type="http://schemas.openxmlformats.org/officeDocument/2006/relationships/ctrlProp" Target="../ctrlProps/ctrlProp111.xml"/><Relationship Id="rId81" Type="http://schemas.openxmlformats.org/officeDocument/2006/relationships/ctrlProp" Target="../ctrlProps/ctrlProp114.xml"/><Relationship Id="rId86" Type="http://schemas.openxmlformats.org/officeDocument/2006/relationships/ctrlProp" Target="../ctrlProps/ctrlProp119.xml"/><Relationship Id="rId94" Type="http://schemas.openxmlformats.org/officeDocument/2006/relationships/ctrlProp" Target="../ctrlProps/ctrlProp127.xml"/><Relationship Id="rId99" Type="http://schemas.openxmlformats.org/officeDocument/2006/relationships/ctrlProp" Target="../ctrlProps/ctrlProp132.xml"/><Relationship Id="rId101" Type="http://schemas.openxmlformats.org/officeDocument/2006/relationships/ctrlProp" Target="../ctrlProps/ctrlProp134.xml"/><Relationship Id="rId122" Type="http://schemas.openxmlformats.org/officeDocument/2006/relationships/ctrlProp" Target="../ctrlProps/ctrlProp155.xml"/><Relationship Id="rId130" Type="http://schemas.openxmlformats.org/officeDocument/2006/relationships/ctrlProp" Target="../ctrlProps/ctrlProp163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2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9" Type="http://schemas.openxmlformats.org/officeDocument/2006/relationships/ctrlProp" Target="../ctrlProps/ctrlProp72.xml"/><Relationship Id="rId109" Type="http://schemas.openxmlformats.org/officeDocument/2006/relationships/ctrlProp" Target="../ctrlProps/ctrlProp142.xml"/><Relationship Id="rId34" Type="http://schemas.openxmlformats.org/officeDocument/2006/relationships/ctrlProp" Target="../ctrlProps/ctrlProp67.xml"/><Relationship Id="rId50" Type="http://schemas.openxmlformats.org/officeDocument/2006/relationships/ctrlProp" Target="../ctrlProps/ctrlProp83.xml"/><Relationship Id="rId55" Type="http://schemas.openxmlformats.org/officeDocument/2006/relationships/ctrlProp" Target="../ctrlProps/ctrlProp88.xml"/><Relationship Id="rId76" Type="http://schemas.openxmlformats.org/officeDocument/2006/relationships/ctrlProp" Target="../ctrlProps/ctrlProp109.xml"/><Relationship Id="rId97" Type="http://schemas.openxmlformats.org/officeDocument/2006/relationships/ctrlProp" Target="../ctrlProps/ctrlProp130.xml"/><Relationship Id="rId104" Type="http://schemas.openxmlformats.org/officeDocument/2006/relationships/ctrlProp" Target="../ctrlProps/ctrlProp137.xml"/><Relationship Id="rId120" Type="http://schemas.openxmlformats.org/officeDocument/2006/relationships/ctrlProp" Target="../ctrlProps/ctrlProp153.xml"/><Relationship Id="rId125" Type="http://schemas.openxmlformats.org/officeDocument/2006/relationships/ctrlProp" Target="../ctrlProps/ctrlProp158.xml"/><Relationship Id="rId7" Type="http://schemas.openxmlformats.org/officeDocument/2006/relationships/ctrlProp" Target="../ctrlProps/ctrlProp40.xml"/><Relationship Id="rId71" Type="http://schemas.openxmlformats.org/officeDocument/2006/relationships/ctrlProp" Target="../ctrlProps/ctrlProp104.xml"/><Relationship Id="rId92" Type="http://schemas.openxmlformats.org/officeDocument/2006/relationships/ctrlProp" Target="../ctrlProps/ctrlProp125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62.xml"/><Relationship Id="rId24" Type="http://schemas.openxmlformats.org/officeDocument/2006/relationships/ctrlProp" Target="../ctrlProps/ctrlProp57.xml"/><Relationship Id="rId40" Type="http://schemas.openxmlformats.org/officeDocument/2006/relationships/ctrlProp" Target="../ctrlProps/ctrlProp73.xml"/><Relationship Id="rId45" Type="http://schemas.openxmlformats.org/officeDocument/2006/relationships/ctrlProp" Target="../ctrlProps/ctrlProp78.xml"/><Relationship Id="rId66" Type="http://schemas.openxmlformats.org/officeDocument/2006/relationships/ctrlProp" Target="../ctrlProps/ctrlProp99.xml"/><Relationship Id="rId87" Type="http://schemas.openxmlformats.org/officeDocument/2006/relationships/ctrlProp" Target="../ctrlProps/ctrlProp120.xml"/><Relationship Id="rId110" Type="http://schemas.openxmlformats.org/officeDocument/2006/relationships/ctrlProp" Target="../ctrlProps/ctrlProp143.xml"/><Relationship Id="rId115" Type="http://schemas.openxmlformats.org/officeDocument/2006/relationships/ctrlProp" Target="../ctrlProps/ctrlProp148.xml"/><Relationship Id="rId131" Type="http://schemas.openxmlformats.org/officeDocument/2006/relationships/ctrlProp" Target="../ctrlProps/ctrlProp164.xml"/><Relationship Id="rId61" Type="http://schemas.openxmlformats.org/officeDocument/2006/relationships/ctrlProp" Target="../ctrlProps/ctrlProp94.xml"/><Relationship Id="rId82" Type="http://schemas.openxmlformats.org/officeDocument/2006/relationships/ctrlProp" Target="../ctrlProps/ctrlProp1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D767"/>
  <sheetViews>
    <sheetView showGridLines="0" tabSelected="1" showWhiteSpace="0" view="pageLayout" zoomScaleNormal="100" zoomScaleSheetLayoutView="100" workbookViewId="0">
      <selection activeCell="B148" sqref="B148:AB149"/>
    </sheetView>
  </sheetViews>
  <sheetFormatPr baseColWidth="10" defaultColWidth="11.44140625" defaultRowHeight="13.2" zeroHeight="1" x14ac:dyDescent="0.25"/>
  <cols>
    <col min="1" max="1" width="3.88671875" style="205" customWidth="1"/>
    <col min="2" max="2" width="3.88671875" style="198" customWidth="1"/>
    <col min="3" max="4" width="3.6640625" style="198" customWidth="1"/>
    <col min="5" max="5" width="4.109375" style="198" customWidth="1"/>
    <col min="6" max="6" width="3.5546875" style="198" customWidth="1"/>
    <col min="7" max="11" width="3.6640625" style="198" customWidth="1"/>
    <col min="12" max="12" width="3.44140625" style="198" customWidth="1"/>
    <col min="13" max="15" width="3.6640625" style="198" customWidth="1"/>
    <col min="16" max="16" width="15.44140625" style="198" customWidth="1"/>
    <col min="17" max="23" width="3.6640625" style="198" customWidth="1"/>
    <col min="24" max="24" width="1.5546875" style="198" customWidth="1"/>
    <col min="25" max="25" width="5.5546875" style="198" customWidth="1"/>
    <col min="26" max="26" width="3.6640625" style="198" customWidth="1"/>
    <col min="27" max="27" width="4.33203125" style="198" customWidth="1"/>
    <col min="28" max="28" width="6.109375" style="198" customWidth="1"/>
    <col min="29" max="29" width="3.33203125" style="198" customWidth="1"/>
    <col min="30" max="30" width="9.33203125" style="198" customWidth="1"/>
    <col min="31" max="31" width="8.109375" style="198" customWidth="1"/>
    <col min="32" max="33" width="11.44140625" style="198"/>
    <col min="34" max="34" width="17" style="198" customWidth="1"/>
    <col min="35" max="37" width="11.44140625" style="198"/>
    <col min="38" max="41" width="20.109375" style="198" customWidth="1"/>
    <col min="42" max="43" width="11.44140625" style="198"/>
    <col min="44" max="44" width="22.88671875" style="198" customWidth="1"/>
    <col min="45" max="45" width="11.44140625" style="198"/>
    <col min="46" max="51" width="11.5546875" style="198" bestFit="1" customWidth="1"/>
    <col min="52" max="52" width="13" style="198" bestFit="1" customWidth="1"/>
    <col min="53" max="53" width="11.5546875" style="198" bestFit="1" customWidth="1"/>
    <col min="54" max="54" width="13.44140625" style="198" customWidth="1"/>
    <col min="55" max="56" width="11.5546875" style="198" bestFit="1" customWidth="1"/>
    <col min="57" max="16384" width="11.44140625" style="198"/>
  </cols>
  <sheetData>
    <row r="1" spans="1:31" ht="19.5" customHeight="1" x14ac:dyDescent="0.3">
      <c r="A1" s="534"/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</row>
    <row r="2" spans="1:31" ht="12.75" customHeight="1" x14ac:dyDescent="0.25">
      <c r="A2" s="535" t="s">
        <v>180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</row>
    <row r="3" spans="1:31" ht="12.75" customHeight="1" x14ac:dyDescent="0.3">
      <c r="A3" s="201"/>
      <c r="B3" s="202"/>
      <c r="C3" s="202"/>
      <c r="E3" s="202"/>
      <c r="F3" s="202"/>
      <c r="G3" s="202"/>
      <c r="H3" s="202"/>
      <c r="I3" s="202"/>
      <c r="J3" s="202"/>
      <c r="K3" s="202"/>
      <c r="L3" s="202"/>
      <c r="M3" s="202"/>
      <c r="N3" s="203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4"/>
    </row>
    <row r="4" spans="1:31" ht="18" customHeight="1" x14ac:dyDescent="0.3">
      <c r="B4" s="20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206"/>
      <c r="AA4" s="206"/>
    </row>
    <row r="5" spans="1:31" ht="18.75" customHeight="1" x14ac:dyDescent="0.25"/>
    <row r="6" spans="1:31" ht="9.6" customHeight="1" x14ac:dyDescent="0.25"/>
    <row r="7" spans="1:31" ht="69" customHeight="1" x14ac:dyDescent="0.25">
      <c r="A7" s="544" t="s">
        <v>963</v>
      </c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6"/>
      <c r="AC7" s="207"/>
    </row>
    <row r="8" spans="1:31" ht="10.199999999999999" customHeight="1" x14ac:dyDescent="0.25">
      <c r="A8" s="541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 t="s">
        <v>675</v>
      </c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</row>
    <row r="9" spans="1:31" s="214" customFormat="1" ht="15.6" x14ac:dyDescent="0.25">
      <c r="A9" s="208" t="s">
        <v>222</v>
      </c>
      <c r="B9" s="209" t="s">
        <v>901</v>
      </c>
      <c r="C9" s="209"/>
      <c r="D9" s="209"/>
      <c r="E9" s="210"/>
      <c r="F9" s="210"/>
      <c r="G9" s="210"/>
      <c r="H9" s="210"/>
      <c r="I9" s="210"/>
      <c r="J9" s="210"/>
      <c r="K9" s="210"/>
      <c r="L9" s="211"/>
      <c r="M9" s="211"/>
      <c r="N9" s="211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3"/>
      <c r="AD9" s="215"/>
      <c r="AE9" s="198"/>
    </row>
    <row r="10" spans="1:31" x14ac:dyDescent="0.25">
      <c r="A10" s="216"/>
      <c r="B10" s="550" t="s">
        <v>902</v>
      </c>
      <c r="C10" s="521"/>
      <c r="D10" s="521"/>
      <c r="E10" s="521"/>
      <c r="F10" s="521"/>
      <c r="G10" s="521"/>
      <c r="H10" s="521"/>
      <c r="I10" s="521"/>
      <c r="J10" s="521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2"/>
      <c r="Y10" s="217"/>
      <c r="Z10" s="217"/>
      <c r="AA10" s="125"/>
      <c r="AB10" s="218"/>
    </row>
    <row r="11" spans="1:31" ht="13.8" x14ac:dyDescent="0.25">
      <c r="A11" s="216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7"/>
      <c r="Y11" s="219"/>
      <c r="Z11" s="219"/>
      <c r="AA11" s="542" t="str">
        <f>IF(AnmeldeNummer=0," ", "lfd.Nr.")</f>
        <v xml:space="preserve"> </v>
      </c>
      <c r="AB11" s="543"/>
    </row>
    <row r="12" spans="1:31" ht="13.2" customHeight="1" x14ac:dyDescent="0.25">
      <c r="A12" s="216"/>
      <c r="B12" s="547" t="s">
        <v>93</v>
      </c>
      <c r="C12" s="479"/>
      <c r="D12" s="479"/>
      <c r="E12" s="479"/>
      <c r="F12" s="479"/>
      <c r="G12" s="479"/>
      <c r="H12" s="479"/>
      <c r="I12" s="479"/>
      <c r="J12" s="479"/>
      <c r="K12" s="548"/>
      <c r="L12" s="221" t="s">
        <v>39</v>
      </c>
      <c r="M12" s="549"/>
      <c r="N12" s="479"/>
      <c r="O12" s="479"/>
      <c r="P12" s="222" t="s">
        <v>40</v>
      </c>
      <c r="Q12" s="221"/>
      <c r="R12" s="125"/>
      <c r="S12" s="125"/>
      <c r="T12" s="125"/>
      <c r="U12" s="125"/>
      <c r="V12" s="125"/>
      <c r="W12" s="125"/>
      <c r="X12" s="220"/>
      <c r="Y12" s="125"/>
      <c r="Z12" s="125"/>
      <c r="AA12" s="551" t="str">
        <f>IF(AnmeldeNummer=0,"",AnmeldeNummer)</f>
        <v/>
      </c>
      <c r="AB12" s="423"/>
    </row>
    <row r="13" spans="1:31" ht="13.8" x14ac:dyDescent="0.25">
      <c r="A13" s="216"/>
      <c r="B13" s="483"/>
      <c r="C13" s="484"/>
      <c r="D13" s="484"/>
      <c r="E13" s="484"/>
      <c r="F13" s="484"/>
      <c r="G13" s="484"/>
      <c r="H13" s="484"/>
      <c r="I13" s="484"/>
      <c r="J13" s="484"/>
      <c r="K13" s="494"/>
      <c r="L13" s="539"/>
      <c r="M13" s="540"/>
      <c r="N13" s="540"/>
      <c r="O13" s="540"/>
      <c r="P13" s="495"/>
      <c r="Q13" s="496"/>
      <c r="R13" s="496"/>
      <c r="S13" s="496"/>
      <c r="T13" s="496"/>
      <c r="U13" s="496"/>
      <c r="V13" s="496"/>
      <c r="W13" s="496"/>
      <c r="X13" s="497"/>
      <c r="Y13" s="223"/>
      <c r="Z13" s="223"/>
      <c r="AA13" s="422"/>
      <c r="AB13" s="423"/>
    </row>
    <row r="14" spans="1:31" s="230" customFormat="1" x14ac:dyDescent="0.25">
      <c r="A14" s="224"/>
      <c r="B14" s="491" t="s">
        <v>49</v>
      </c>
      <c r="C14" s="492"/>
      <c r="D14" s="492"/>
      <c r="E14" s="492"/>
      <c r="F14" s="493"/>
      <c r="G14" s="491" t="s">
        <v>260</v>
      </c>
      <c r="H14" s="492"/>
      <c r="I14" s="492"/>
      <c r="J14" s="492"/>
      <c r="K14" s="493"/>
      <c r="L14" s="520" t="s">
        <v>50</v>
      </c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2"/>
      <c r="Y14" s="229"/>
      <c r="Z14" s="125"/>
      <c r="AB14" s="231"/>
    </row>
    <row r="15" spans="1:31" ht="13.8" x14ac:dyDescent="0.25">
      <c r="A15" s="216"/>
      <c r="B15" s="483"/>
      <c r="C15" s="484"/>
      <c r="D15" s="484"/>
      <c r="E15" s="484"/>
      <c r="F15" s="494"/>
      <c r="G15" s="483"/>
      <c r="H15" s="484"/>
      <c r="I15" s="484"/>
      <c r="J15" s="484"/>
      <c r="K15" s="494"/>
      <c r="L15" s="495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7"/>
      <c r="Y15" s="232"/>
      <c r="Z15" s="232"/>
      <c r="AB15" s="233"/>
    </row>
    <row r="16" spans="1:31" ht="13.8" x14ac:dyDescent="0.25">
      <c r="A16" s="216"/>
      <c r="B16" s="234" t="s">
        <v>218</v>
      </c>
      <c r="H16" s="235"/>
      <c r="I16" s="236"/>
      <c r="J16" s="236"/>
      <c r="K16" s="236"/>
      <c r="L16" s="236"/>
      <c r="M16" s="236"/>
      <c r="N16" s="236"/>
      <c r="O16" s="236"/>
      <c r="P16" s="205"/>
      <c r="S16" s="235"/>
      <c r="T16" s="236"/>
      <c r="U16" s="236"/>
      <c r="V16" s="236"/>
      <c r="W16" s="236"/>
      <c r="X16" s="236"/>
      <c r="Y16" s="236"/>
      <c r="Z16" s="236"/>
      <c r="AA16" s="237"/>
      <c r="AB16" s="233"/>
    </row>
    <row r="17" spans="1:34" s="230" customFormat="1" ht="12.75" customHeight="1" x14ac:dyDescent="0.25">
      <c r="A17" s="224"/>
      <c r="B17" s="491" t="s">
        <v>48</v>
      </c>
      <c r="C17" s="517"/>
      <c r="D17" s="238" t="s">
        <v>166</v>
      </c>
      <c r="E17" s="226"/>
      <c r="F17" s="226"/>
      <c r="G17" s="227"/>
      <c r="H17" s="225" t="s">
        <v>46</v>
      </c>
      <c r="I17" s="239"/>
      <c r="J17" s="239"/>
      <c r="K17" s="239"/>
      <c r="L17" s="239"/>
      <c r="M17" s="239"/>
      <c r="N17" s="239"/>
      <c r="O17" s="239"/>
      <c r="P17" s="240"/>
      <c r="Q17" s="228" t="s">
        <v>98</v>
      </c>
      <c r="R17" s="241"/>
      <c r="S17" s="241"/>
      <c r="T17" s="241"/>
      <c r="U17" s="241"/>
      <c r="V17" s="241"/>
      <c r="W17" s="241"/>
      <c r="X17" s="242"/>
      <c r="Y17" s="229"/>
      <c r="Z17" s="229"/>
      <c r="AA17" s="511" t="str">
        <f>IF(Anmeldeingang=0," ", "Eingang")</f>
        <v xml:space="preserve"> </v>
      </c>
      <c r="AB17" s="512"/>
    </row>
    <row r="18" spans="1:34" ht="13.8" x14ac:dyDescent="0.25">
      <c r="A18" s="216"/>
      <c r="B18" s="483"/>
      <c r="C18" s="514"/>
      <c r="D18" s="513"/>
      <c r="E18" s="514"/>
      <c r="F18" s="514"/>
      <c r="G18" s="485"/>
      <c r="H18" s="483"/>
      <c r="I18" s="514"/>
      <c r="J18" s="514"/>
      <c r="K18" s="514"/>
      <c r="L18" s="514"/>
      <c r="M18" s="514"/>
      <c r="N18" s="514"/>
      <c r="O18" s="514"/>
      <c r="P18" s="485"/>
      <c r="Q18" s="495"/>
      <c r="R18" s="496"/>
      <c r="S18" s="496"/>
      <c r="T18" s="496"/>
      <c r="U18" s="496"/>
      <c r="V18" s="496"/>
      <c r="W18" s="496"/>
      <c r="X18" s="497"/>
      <c r="Y18" s="232"/>
      <c r="Z18" s="232"/>
      <c r="AA18" s="515" t="str">
        <f>IF(Anmeldeingang=0," ", Anmeldeingang)</f>
        <v xml:space="preserve"> </v>
      </c>
      <c r="AB18" s="516"/>
    </row>
    <row r="19" spans="1:34" ht="13.8" x14ac:dyDescent="0.25">
      <c r="A19" s="216"/>
      <c r="B19" s="234" t="s">
        <v>167</v>
      </c>
      <c r="H19" s="235"/>
      <c r="I19" s="236"/>
      <c r="J19" s="236"/>
      <c r="K19" s="236"/>
      <c r="L19" s="236"/>
      <c r="M19" s="236"/>
      <c r="N19" s="236"/>
      <c r="O19" s="236"/>
      <c r="P19" s="205"/>
      <c r="S19" s="235"/>
      <c r="T19" s="236"/>
      <c r="U19" s="236"/>
      <c r="V19" s="236"/>
      <c r="W19" s="236"/>
      <c r="X19" s="236"/>
      <c r="Y19" s="236"/>
      <c r="Z19" s="236"/>
      <c r="AA19" s="237"/>
      <c r="AB19" s="244"/>
    </row>
    <row r="20" spans="1:34" s="230" customFormat="1" x14ac:dyDescent="0.25">
      <c r="A20" s="224"/>
      <c r="B20" s="491" t="s">
        <v>48</v>
      </c>
      <c r="C20" s="492"/>
      <c r="D20" s="492"/>
      <c r="E20" s="493"/>
      <c r="F20" s="491" t="s">
        <v>46</v>
      </c>
      <c r="G20" s="523"/>
      <c r="H20" s="523"/>
      <c r="I20" s="523"/>
      <c r="J20" s="523"/>
      <c r="K20" s="523"/>
      <c r="L20" s="523"/>
      <c r="M20" s="523"/>
      <c r="N20" s="523"/>
      <c r="O20" s="523"/>
      <c r="P20" s="524"/>
      <c r="Q20" s="520" t="s">
        <v>98</v>
      </c>
      <c r="R20" s="521"/>
      <c r="S20" s="521"/>
      <c r="T20" s="521"/>
      <c r="U20" s="521"/>
      <c r="V20" s="521"/>
      <c r="W20" s="521"/>
      <c r="X20" s="522"/>
      <c r="Y20" s="229"/>
      <c r="Z20" s="229"/>
      <c r="AA20" s="528" t="str">
        <f>IF(neufass=0," ","Neue Fass.")</f>
        <v xml:space="preserve"> </v>
      </c>
      <c r="AB20" s="529"/>
    </row>
    <row r="21" spans="1:34" ht="13.8" x14ac:dyDescent="0.25">
      <c r="A21" s="216"/>
      <c r="B21" s="483"/>
      <c r="C21" s="484"/>
      <c r="D21" s="484"/>
      <c r="E21" s="494"/>
      <c r="F21" s="483"/>
      <c r="G21" s="484"/>
      <c r="H21" s="484"/>
      <c r="I21" s="484"/>
      <c r="J21" s="484"/>
      <c r="K21" s="484"/>
      <c r="L21" s="484"/>
      <c r="M21" s="484"/>
      <c r="N21" s="484"/>
      <c r="O21" s="484"/>
      <c r="P21" s="494"/>
      <c r="Q21" s="495"/>
      <c r="R21" s="496"/>
      <c r="S21" s="496"/>
      <c r="T21" s="496"/>
      <c r="U21" s="496"/>
      <c r="V21" s="496"/>
      <c r="W21" s="496"/>
      <c r="X21" s="497"/>
      <c r="Y21" s="232"/>
      <c r="Z21" s="232"/>
      <c r="AA21" s="515" t="str">
        <f>IF(neufass=0," ", neufass)</f>
        <v xml:space="preserve"> </v>
      </c>
      <c r="AB21" s="516"/>
    </row>
    <row r="22" spans="1:34" s="230" customFormat="1" x14ac:dyDescent="0.25">
      <c r="A22" s="224"/>
      <c r="B22" s="491" t="s">
        <v>49</v>
      </c>
      <c r="C22" s="523"/>
      <c r="D22" s="523"/>
      <c r="E22" s="523"/>
      <c r="F22" s="479"/>
      <c r="H22" s="125"/>
      <c r="I22" s="125"/>
      <c r="J22" s="125"/>
      <c r="K22" s="220"/>
      <c r="L22" s="533" t="s">
        <v>50</v>
      </c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78"/>
      <c r="Y22" s="125"/>
      <c r="Z22" s="125"/>
      <c r="AA22" s="245"/>
      <c r="AB22" s="231"/>
    </row>
    <row r="23" spans="1:34" ht="13.8" x14ac:dyDescent="0.25">
      <c r="A23" s="216"/>
      <c r="B23" s="483"/>
      <c r="C23" s="484"/>
      <c r="D23" s="484"/>
      <c r="E23" s="484"/>
      <c r="F23" s="484"/>
      <c r="G23" s="518"/>
      <c r="H23" s="518"/>
      <c r="I23" s="518"/>
      <c r="J23" s="518"/>
      <c r="K23" s="519"/>
      <c r="L23" s="483"/>
      <c r="M23" s="514"/>
      <c r="N23" s="514"/>
      <c r="O23" s="514"/>
      <c r="P23" s="514"/>
      <c r="Q23" s="514"/>
      <c r="R23" s="514"/>
      <c r="S23" s="514"/>
      <c r="T23" s="514"/>
      <c r="U23" s="514"/>
      <c r="V23" s="514"/>
      <c r="W23" s="514"/>
      <c r="X23" s="485"/>
      <c r="Y23" s="219"/>
      <c r="Z23" s="219"/>
      <c r="AA23" s="125"/>
      <c r="AB23" s="233"/>
    </row>
    <row r="24" spans="1:34" ht="13.8" x14ac:dyDescent="0.25">
      <c r="A24" s="216"/>
      <c r="B24" s="234" t="s">
        <v>219</v>
      </c>
      <c r="C24" s="246"/>
      <c r="D24" s="246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247" t="s">
        <v>940</v>
      </c>
      <c r="W24" s="248"/>
      <c r="X24" s="248"/>
      <c r="Y24" s="248"/>
      <c r="Z24" s="248"/>
      <c r="AA24" s="249"/>
      <c r="AB24" s="250"/>
    </row>
    <row r="25" spans="1:34" ht="17.25" customHeight="1" x14ac:dyDescent="0.25">
      <c r="A25" s="251"/>
      <c r="B25" s="498" t="s">
        <v>964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500"/>
      <c r="N25" s="500"/>
      <c r="O25" s="500"/>
      <c r="P25" s="500"/>
      <c r="Q25" s="500"/>
      <c r="R25" s="500"/>
      <c r="S25" s="500"/>
      <c r="T25" s="500"/>
      <c r="U25" s="501"/>
      <c r="V25" s="486"/>
      <c r="W25" s="486"/>
      <c r="X25" s="486"/>
      <c r="Y25" s="486"/>
      <c r="Z25" s="486"/>
      <c r="AA25" s="486"/>
      <c r="AB25" s="487"/>
      <c r="AH25" s="246"/>
    </row>
    <row r="26" spans="1:34" ht="20.399999999999999" customHeight="1" x14ac:dyDescent="0.25">
      <c r="A26" s="252"/>
      <c r="B26" s="502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4"/>
      <c r="N26" s="504"/>
      <c r="O26" s="504"/>
      <c r="P26" s="504"/>
      <c r="Q26" s="504"/>
      <c r="R26" s="504"/>
      <c r="S26" s="504"/>
      <c r="T26" s="504"/>
      <c r="U26" s="505"/>
      <c r="V26" s="488"/>
      <c r="W26" s="488"/>
      <c r="X26" s="488"/>
      <c r="Y26" s="488"/>
      <c r="Z26" s="488"/>
      <c r="AA26" s="488"/>
      <c r="AB26" s="489"/>
      <c r="AH26" s="246"/>
    </row>
    <row r="27" spans="1:34" ht="43.2" customHeight="1" x14ac:dyDescent="0.25">
      <c r="A27" s="252"/>
      <c r="B27" s="525" t="str">
        <f>IF(Akauswahl = 2,"Bitte nehmen Sie umgehend Kontakt zur ESF+-Beratungsstelle auf: Tel. 0651-14645-12 oder akkreditierung@schneider-beratung.eu"," ")</f>
        <v xml:space="preserve"> </v>
      </c>
      <c r="C27" s="526"/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6"/>
      <c r="AB27" s="527"/>
      <c r="AH27" s="246"/>
    </row>
    <row r="28" spans="1:34" ht="60.6" customHeight="1" x14ac:dyDescent="0.25">
      <c r="A28" s="252"/>
      <c r="B28" s="506" t="s">
        <v>965</v>
      </c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8"/>
      <c r="AH28" s="246"/>
    </row>
    <row r="29" spans="1:34" ht="8.25" customHeight="1" thickBot="1" x14ac:dyDescent="0.3">
      <c r="A29" s="216"/>
      <c r="B29" s="253"/>
      <c r="C29" s="253"/>
      <c r="D29" s="253"/>
      <c r="E29" s="253"/>
      <c r="F29" s="253"/>
      <c r="G29" s="253"/>
      <c r="H29" s="253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254"/>
      <c r="AB29" s="255"/>
    </row>
    <row r="30" spans="1:34" ht="15.6" x14ac:dyDescent="0.3">
      <c r="A30" s="256" t="s">
        <v>224</v>
      </c>
      <c r="B30" s="257" t="s">
        <v>223</v>
      </c>
      <c r="C30" s="257"/>
      <c r="D30" s="257"/>
      <c r="E30" s="257"/>
      <c r="F30" s="257"/>
      <c r="G30" s="258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AB30" s="233"/>
    </row>
    <row r="31" spans="1:34" x14ac:dyDescent="0.25">
      <c r="A31" s="259"/>
      <c r="B31" s="440" t="s">
        <v>173</v>
      </c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75"/>
    </row>
    <row r="32" spans="1:34" ht="12.75" customHeight="1" x14ac:dyDescent="0.25">
      <c r="A32" s="259"/>
      <c r="B32" s="483"/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5"/>
    </row>
    <row r="33" spans="1:29" ht="22.8" customHeight="1" x14ac:dyDescent="0.25">
      <c r="A33" s="216"/>
      <c r="B33" s="438" t="s">
        <v>42</v>
      </c>
      <c r="C33" s="439"/>
      <c r="D33" s="439"/>
      <c r="E33" s="439"/>
      <c r="F33" s="439"/>
      <c r="G33" s="439"/>
      <c r="H33" s="439"/>
      <c r="I33" s="439"/>
      <c r="J33" s="234" t="s">
        <v>43</v>
      </c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530" t="s">
        <v>966</v>
      </c>
      <c r="X33" s="531"/>
      <c r="Y33" s="531"/>
      <c r="Z33" s="531"/>
      <c r="AA33" s="531"/>
      <c r="AB33" s="532"/>
    </row>
    <row r="34" spans="1:29" s="217" customFormat="1" ht="14.25" customHeight="1" x14ac:dyDescent="0.25">
      <c r="A34" s="221"/>
      <c r="B34" s="440" t="s">
        <v>52</v>
      </c>
      <c r="C34" s="441"/>
      <c r="D34" s="441"/>
      <c r="E34" s="260"/>
      <c r="F34" s="440" t="s">
        <v>53</v>
      </c>
      <c r="G34" s="441"/>
      <c r="H34" s="441"/>
      <c r="I34" s="461"/>
      <c r="J34" s="261"/>
      <c r="K34"/>
      <c r="L34"/>
      <c r="M34"/>
      <c r="N34"/>
      <c r="O34"/>
      <c r="P34" s="262"/>
      <c r="Q34" s="262"/>
      <c r="R34" s="262"/>
      <c r="S34" s="262"/>
      <c r="T34" s="262"/>
      <c r="U34" s="262"/>
      <c r="V34" s="262"/>
      <c r="W34" s="263" t="s">
        <v>967</v>
      </c>
      <c r="X34" s="26"/>
      <c r="Y34" s="26"/>
      <c r="Z34" s="26"/>
      <c r="AA34" s="26"/>
      <c r="AB34" s="264"/>
    </row>
    <row r="35" spans="1:29" ht="15" customHeight="1" x14ac:dyDescent="0.25">
      <c r="A35" s="265"/>
      <c r="B35" s="445"/>
      <c r="C35" s="446"/>
      <c r="D35" s="446"/>
      <c r="E35" s="447"/>
      <c r="F35" s="442"/>
      <c r="G35" s="443"/>
      <c r="H35" s="443"/>
      <c r="I35" s="444"/>
      <c r="J35"/>
      <c r="K35"/>
      <c r="L35"/>
      <c r="M35"/>
      <c r="N35"/>
      <c r="O35"/>
      <c r="P35" s="262"/>
      <c r="Q35" s="262"/>
      <c r="R35" s="262"/>
      <c r="S35" s="262"/>
      <c r="T35" s="262"/>
      <c r="U35" s="262"/>
      <c r="V35" s="262"/>
      <c r="W35" s="458"/>
      <c r="X35" s="459"/>
      <c r="Y35" s="459"/>
      <c r="Z35" s="459"/>
      <c r="AA35" s="459"/>
      <c r="AB35" s="460"/>
    </row>
    <row r="36" spans="1:29" ht="15.75" customHeight="1" x14ac:dyDescent="0.25">
      <c r="A36" s="259"/>
      <c r="B36" s="266" t="s">
        <v>112</v>
      </c>
      <c r="L36" s="235"/>
      <c r="AB36" s="233"/>
    </row>
    <row r="37" spans="1:29" s="258" customFormat="1" ht="18" customHeight="1" x14ac:dyDescent="0.3">
      <c r="A37" s="267"/>
      <c r="B37" s="268"/>
      <c r="L37" s="268"/>
      <c r="V37" s="509" t="str">
        <f ca="1">IF(OR(GEK="Übergangsregion Trier", GEK="Stdt. Trier",GEK="Lkr. Trier-Saarburg",GEK="Lkr. Bernkastel-Wittlich",GEK="Vulkaneifelkreis",GEK="Lkr. Bitburg-Prüm"),"Übergangsregion (ÜR)"," ")</f>
        <v xml:space="preserve"> </v>
      </c>
      <c r="W37" s="510"/>
      <c r="X37" s="510"/>
      <c r="Y37" s="510"/>
      <c r="Z37" s="510"/>
      <c r="AA37" s="510"/>
      <c r="AB37" s="510"/>
    </row>
    <row r="38" spans="1:29" ht="4.8" customHeight="1" x14ac:dyDescent="0.25">
      <c r="A38" s="259"/>
      <c r="C38" s="219"/>
      <c r="L38" s="235"/>
      <c r="U38" s="417" t="str">
        <f ca="1">IF(OR(GEK="Übergangsregion Trier",GEK="Stdt. Trier",GEK="Lkr. Trier-Saarburg",GEK="Lkr. Bernkastel-Wittlich",GEK="Vulkaneifelkreis",GEK="Lkr. Bitburg-Prüm",GEK="Bitte auswählen"),"","Stärker entwickelte Region (SER)")</f>
        <v/>
      </c>
      <c r="V38" s="624"/>
      <c r="W38" s="624"/>
      <c r="X38" s="624"/>
      <c r="Y38" s="624"/>
      <c r="Z38" s="624"/>
      <c r="AA38" s="624"/>
      <c r="AB38" s="624"/>
    </row>
    <row r="39" spans="1:29" s="217" customFormat="1" ht="5.25" customHeight="1" x14ac:dyDescent="0.25">
      <c r="A39" s="222"/>
      <c r="B39" s="269"/>
      <c r="C39" s="270"/>
      <c r="D39" s="270"/>
      <c r="E39" s="271"/>
      <c r="F39" s="271"/>
      <c r="G39" s="271"/>
      <c r="H39" s="271"/>
      <c r="I39" s="271"/>
      <c r="J39" s="271"/>
      <c r="K39" s="271"/>
      <c r="L39" s="272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3"/>
      <c r="AC39" s="198"/>
    </row>
    <row r="40" spans="1:29" ht="16.5" customHeight="1" x14ac:dyDescent="0.25">
      <c r="A40" s="274"/>
      <c r="B40" s="275" t="s">
        <v>903</v>
      </c>
      <c r="D40" s="206"/>
      <c r="E40" s="206"/>
      <c r="F40" s="235"/>
      <c r="G40" s="206"/>
      <c r="H40" s="206"/>
      <c r="I40" s="206"/>
      <c r="J40" s="206"/>
      <c r="K40" s="276"/>
      <c r="L40" s="206"/>
      <c r="M40" s="206"/>
      <c r="N40" s="206"/>
      <c r="O40" s="277"/>
      <c r="P40" s="277"/>
      <c r="Q40" s="276"/>
      <c r="R40" s="200"/>
      <c r="S40" s="206"/>
      <c r="T40" s="206"/>
      <c r="U40" s="206"/>
      <c r="V40" s="206"/>
      <c r="W40" s="206"/>
      <c r="X40" s="206"/>
      <c r="Y40" s="206"/>
      <c r="Z40" s="206"/>
      <c r="AA40" s="206"/>
      <c r="AB40" s="233"/>
    </row>
    <row r="41" spans="1:29" s="217" customFormat="1" ht="18.600000000000001" customHeight="1" x14ac:dyDescent="0.25">
      <c r="A41" s="278"/>
      <c r="B41" s="480" t="s">
        <v>908</v>
      </c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279"/>
      <c r="Q41" s="280"/>
      <c r="R41" s="243"/>
      <c r="S41" s="281"/>
      <c r="T41" s="281"/>
      <c r="U41" s="281"/>
      <c r="V41" s="281"/>
      <c r="W41" s="281"/>
      <c r="X41" s="281"/>
      <c r="Y41" s="281"/>
      <c r="Z41" s="281"/>
      <c r="AA41" s="281"/>
      <c r="AB41" s="282"/>
    </row>
    <row r="42" spans="1:29" s="288" customFormat="1" ht="24" customHeight="1" x14ac:dyDescent="0.25">
      <c r="A42" s="283"/>
      <c r="B42" s="284"/>
      <c r="C42" s="285"/>
      <c r="D42" s="285"/>
      <c r="E42" s="285"/>
      <c r="F42" s="286"/>
      <c r="G42" s="285"/>
      <c r="H42" s="285"/>
      <c r="I42" s="199"/>
      <c r="J42" s="285"/>
      <c r="K42" s="22"/>
      <c r="L42" s="285"/>
      <c r="M42" s="285"/>
      <c r="N42" s="285"/>
      <c r="O42" s="285"/>
      <c r="P42" s="285"/>
      <c r="Q42" s="285"/>
      <c r="R42" s="285"/>
      <c r="S42" s="285"/>
      <c r="T42" s="22"/>
      <c r="U42" s="285"/>
      <c r="V42" s="285"/>
      <c r="W42" s="285"/>
      <c r="X42" s="285"/>
      <c r="Y42" s="285"/>
      <c r="Z42" s="285"/>
      <c r="AA42" s="285"/>
      <c r="AB42" s="287"/>
    </row>
    <row r="43" spans="1:29" s="217" customFormat="1" ht="13.5" customHeight="1" x14ac:dyDescent="0.2">
      <c r="A43" s="289"/>
      <c r="B43" s="290" t="s">
        <v>765</v>
      </c>
      <c r="AB43" s="282"/>
    </row>
    <row r="44" spans="1:29" ht="20.25" customHeight="1" x14ac:dyDescent="0.25">
      <c r="A44" s="259"/>
      <c r="B44" s="291"/>
      <c r="C44" s="292"/>
      <c r="D44" s="292"/>
      <c r="E44" s="292"/>
      <c r="F44" s="293"/>
      <c r="G44" s="292"/>
      <c r="H44" s="292"/>
      <c r="I44" s="294"/>
      <c r="J44" s="292"/>
      <c r="K44" s="295"/>
      <c r="L44" s="292"/>
      <c r="M44" s="292"/>
      <c r="N44" s="292"/>
      <c r="O44" s="292"/>
      <c r="P44" s="292"/>
      <c r="Q44" s="292"/>
      <c r="R44" s="292"/>
      <c r="S44" s="292"/>
      <c r="T44" s="295"/>
      <c r="U44" s="292"/>
      <c r="V44" s="292"/>
      <c r="W44" s="292"/>
      <c r="X44" s="292"/>
      <c r="Y44" s="292"/>
      <c r="Z44" s="292"/>
      <c r="AA44" s="292"/>
      <c r="AB44" s="296"/>
    </row>
    <row r="45" spans="1:29" ht="13.8" x14ac:dyDescent="0.25">
      <c r="A45" s="259"/>
      <c r="B45" s="470" t="s">
        <v>181</v>
      </c>
      <c r="C45" s="470"/>
      <c r="D45" s="470"/>
      <c r="E45" s="470"/>
      <c r="F45" s="470"/>
      <c r="G45" s="479"/>
      <c r="H45" s="479"/>
      <c r="I45" s="479"/>
      <c r="J45" s="479"/>
      <c r="K45" s="479"/>
      <c r="L45" s="479"/>
      <c r="M45" s="479"/>
      <c r="N45" s="479"/>
      <c r="O45" s="206"/>
      <c r="P45" s="470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233"/>
    </row>
    <row r="46" spans="1:29" ht="21.9" customHeight="1" x14ac:dyDescent="0.25">
      <c r="A46" s="259"/>
      <c r="B46" s="297"/>
      <c r="C46" s="298"/>
      <c r="D46" s="298"/>
      <c r="E46" s="298"/>
      <c r="F46" s="298"/>
      <c r="G46" s="298"/>
      <c r="H46" s="298"/>
      <c r="I46" s="298"/>
      <c r="J46" s="298"/>
      <c r="K46" s="298"/>
      <c r="L46" s="297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9"/>
    </row>
    <row r="47" spans="1:29" ht="13.8" x14ac:dyDescent="0.25">
      <c r="A47" s="259"/>
      <c r="B47" s="438" t="s">
        <v>141</v>
      </c>
      <c r="C47" s="439"/>
      <c r="D47" s="439"/>
      <c r="E47" s="439"/>
      <c r="F47" s="439"/>
      <c r="G47" s="439"/>
      <c r="H47" s="439"/>
      <c r="I47" s="439"/>
      <c r="L47" s="235"/>
      <c r="AB47" s="233"/>
    </row>
    <row r="48" spans="1:29" ht="20.25" customHeight="1" x14ac:dyDescent="0.25">
      <c r="A48" s="259"/>
      <c r="B48" s="450" t="s">
        <v>204</v>
      </c>
      <c r="C48" s="451"/>
      <c r="D48" s="451"/>
      <c r="E48" s="451"/>
      <c r="F48" s="472"/>
      <c r="G48" s="472"/>
      <c r="H48" s="472"/>
      <c r="I48" s="301"/>
      <c r="J48" s="448" t="s">
        <v>904</v>
      </c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233"/>
    </row>
    <row r="49" spans="1:56" ht="18.600000000000001" customHeight="1" x14ac:dyDescent="0.25">
      <c r="A49" s="259"/>
      <c r="B49" s="302" t="s">
        <v>261</v>
      </c>
      <c r="C49" s="302"/>
      <c r="D49" s="302"/>
      <c r="E49" s="300"/>
      <c r="F49" s="472"/>
      <c r="G49" s="472"/>
      <c r="H49" s="472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233"/>
    </row>
    <row r="50" spans="1:56" ht="18" customHeight="1" x14ac:dyDescent="0.25">
      <c r="A50" s="259"/>
      <c r="B50" s="300" t="s">
        <v>45</v>
      </c>
      <c r="C50" s="303"/>
      <c r="D50" s="303"/>
      <c r="E50" s="303"/>
      <c r="F50" s="472"/>
      <c r="G50" s="472"/>
      <c r="H50" s="472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233"/>
    </row>
    <row r="51" spans="1:56" ht="17.399999999999999" customHeight="1" x14ac:dyDescent="0.25">
      <c r="A51" s="259"/>
      <c r="B51" s="304" t="s">
        <v>44</v>
      </c>
      <c r="C51" s="305"/>
      <c r="D51" s="305"/>
      <c r="E51" s="305"/>
      <c r="F51" s="457"/>
      <c r="G51" s="457"/>
      <c r="H51" s="457"/>
      <c r="J51" s="473" t="s">
        <v>709</v>
      </c>
      <c r="K51" s="474"/>
      <c r="L51" s="474"/>
      <c r="M51" s="474"/>
      <c r="N51" s="474"/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5"/>
    </row>
    <row r="52" spans="1:56" ht="14.25" customHeight="1" x14ac:dyDescent="0.25">
      <c r="A52" s="259"/>
      <c r="B52" s="455" t="s">
        <v>928</v>
      </c>
      <c r="C52" s="456"/>
      <c r="D52" s="456"/>
      <c r="E52" s="456"/>
      <c r="F52" s="457"/>
      <c r="G52" s="457"/>
      <c r="H52" s="457"/>
      <c r="I52" s="206"/>
      <c r="J52" s="476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8"/>
    </row>
    <row r="53" spans="1:56" ht="28.8" customHeight="1" x14ac:dyDescent="0.25">
      <c r="A53" s="259"/>
      <c r="B53" s="462"/>
      <c r="C53" s="453"/>
      <c r="D53" s="453"/>
      <c r="E53" s="453"/>
      <c r="F53" s="454"/>
      <c r="G53" s="454"/>
      <c r="H53" s="454"/>
      <c r="I53" s="206"/>
      <c r="J53" s="463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5"/>
    </row>
    <row r="54" spans="1:56" ht="16.5" customHeight="1" x14ac:dyDescent="0.25">
      <c r="A54" s="259"/>
      <c r="B54" s="462"/>
      <c r="C54" s="453"/>
      <c r="D54" s="453"/>
      <c r="E54" s="453"/>
      <c r="F54" s="454"/>
      <c r="G54" s="454"/>
      <c r="H54" s="454"/>
      <c r="I54" s="206"/>
      <c r="J54" s="466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5"/>
      <c r="AF54" s="245"/>
    </row>
    <row r="55" spans="1:56" ht="0.6" customHeight="1" x14ac:dyDescent="0.25">
      <c r="A55" s="259"/>
      <c r="B55" s="452"/>
      <c r="C55" s="453"/>
      <c r="D55" s="453"/>
      <c r="E55" s="453"/>
      <c r="F55" s="454"/>
      <c r="G55" s="454"/>
      <c r="H55" s="454"/>
      <c r="I55" s="206"/>
      <c r="J55" s="466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5"/>
      <c r="AF55" s="245"/>
    </row>
    <row r="56" spans="1:56" ht="4.5" customHeight="1" x14ac:dyDescent="0.25">
      <c r="A56" s="259"/>
      <c r="B56" s="556" t="s">
        <v>898</v>
      </c>
      <c r="C56" s="557"/>
      <c r="D56" s="557"/>
      <c r="E56" s="557"/>
      <c r="F56" s="558"/>
      <c r="G56" s="558"/>
      <c r="H56" s="558"/>
      <c r="I56" s="559"/>
      <c r="J56" s="466"/>
      <c r="K56" s="464"/>
      <c r="L56" s="464"/>
      <c r="M56" s="464"/>
      <c r="N56" s="464"/>
      <c r="O56" s="464"/>
      <c r="P56" s="464"/>
      <c r="Q56" s="464"/>
      <c r="R56" s="464"/>
      <c r="S56" s="464"/>
      <c r="T56" s="464"/>
      <c r="U56" s="464"/>
      <c r="V56" s="464"/>
      <c r="W56" s="464"/>
      <c r="X56" s="464"/>
      <c r="Y56" s="464"/>
      <c r="Z56" s="464"/>
      <c r="AA56" s="464"/>
      <c r="AB56" s="465"/>
    </row>
    <row r="57" spans="1:56" ht="14.25" hidden="1" customHeight="1" x14ac:dyDescent="0.25">
      <c r="A57" s="306"/>
      <c r="B57" s="628" t="s">
        <v>708</v>
      </c>
      <c r="C57" s="628"/>
      <c r="D57" s="628"/>
      <c r="E57" s="628"/>
      <c r="F57" s="555"/>
      <c r="G57" s="555"/>
      <c r="H57" s="555"/>
      <c r="I57" s="307"/>
      <c r="J57" s="467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9"/>
    </row>
    <row r="58" spans="1:56" ht="0.75" customHeight="1" x14ac:dyDescent="0.25">
      <c r="B58" s="308"/>
      <c r="C58" s="292"/>
      <c r="D58" s="292"/>
      <c r="E58" s="292"/>
      <c r="F58" s="292"/>
      <c r="G58" s="292"/>
      <c r="H58" s="292"/>
      <c r="I58" s="294"/>
      <c r="J58" s="292"/>
      <c r="K58" s="295"/>
      <c r="L58" s="292"/>
      <c r="M58" s="292"/>
      <c r="N58" s="293"/>
      <c r="O58" s="292"/>
      <c r="P58" s="292"/>
      <c r="Q58" s="295"/>
      <c r="R58" s="292"/>
      <c r="S58" s="292"/>
      <c r="T58" s="308"/>
      <c r="U58" s="308"/>
      <c r="V58" s="308"/>
      <c r="W58" s="293"/>
      <c r="X58" s="293"/>
      <c r="Y58" s="293"/>
      <c r="Z58" s="292"/>
      <c r="AA58" s="292"/>
      <c r="AB58" s="308"/>
    </row>
    <row r="59" spans="1:56" x14ac:dyDescent="0.25">
      <c r="C59" s="206"/>
      <c r="D59" s="206"/>
      <c r="E59" s="206"/>
      <c r="F59" s="206"/>
      <c r="G59" s="206"/>
      <c r="H59" s="206"/>
      <c r="I59" s="200"/>
      <c r="J59" s="206"/>
      <c r="K59" s="205"/>
      <c r="L59" s="206"/>
      <c r="M59" s="206"/>
      <c r="N59" s="235"/>
      <c r="O59" s="206"/>
      <c r="P59" s="206"/>
      <c r="Q59" s="205"/>
      <c r="R59" s="206"/>
      <c r="S59" s="206"/>
      <c r="W59" s="235"/>
      <c r="X59" s="235"/>
      <c r="Y59" s="235"/>
      <c r="Z59" s="206"/>
      <c r="AA59" s="206"/>
    </row>
    <row r="60" spans="1:56" s="214" customFormat="1" ht="15" customHeight="1" x14ac:dyDescent="0.25">
      <c r="A60" s="204" t="s">
        <v>225</v>
      </c>
      <c r="B60" s="309" t="s">
        <v>99</v>
      </c>
      <c r="C60" s="310"/>
      <c r="D60" s="309"/>
      <c r="E60" s="310"/>
      <c r="K60" s="198"/>
      <c r="AD60" s="198"/>
      <c r="AE60" s="198"/>
      <c r="AL60" s="311"/>
      <c r="AM60" s="312"/>
      <c r="AN60" s="198"/>
      <c r="AO60" s="198"/>
      <c r="AQ60" s="198"/>
      <c r="AS60" s="313"/>
      <c r="AT60" s="198"/>
      <c r="AU60" s="198"/>
      <c r="AV60" s="198"/>
      <c r="AW60" s="198"/>
      <c r="AX60" s="198"/>
      <c r="BC60" s="198"/>
      <c r="BD60" s="198"/>
    </row>
    <row r="61" spans="1:56" ht="14.25" customHeight="1" x14ac:dyDescent="0.25">
      <c r="A61" s="235"/>
      <c r="B61" s="314"/>
      <c r="C61" s="315"/>
      <c r="D61" s="315"/>
      <c r="E61" s="415" t="s">
        <v>77</v>
      </c>
      <c r="F61" s="415"/>
      <c r="G61" s="415"/>
      <c r="H61" s="415"/>
      <c r="I61" s="415"/>
      <c r="J61" s="415"/>
      <c r="K61" s="415"/>
      <c r="L61" s="416"/>
      <c r="M61" s="629" t="s">
        <v>76</v>
      </c>
      <c r="N61" s="630"/>
      <c r="O61" s="631"/>
      <c r="P61" s="427" t="s">
        <v>968</v>
      </c>
      <c r="Q61" s="427"/>
      <c r="R61" s="427"/>
      <c r="S61" s="431"/>
      <c r="T61" s="431"/>
      <c r="U61" s="431"/>
      <c r="V61" s="316"/>
      <c r="W61" s="618" t="s">
        <v>942</v>
      </c>
      <c r="X61" s="619"/>
      <c r="Y61" s="619"/>
      <c r="Z61" s="619"/>
      <c r="AA61" s="619"/>
      <c r="AB61" s="620"/>
      <c r="AL61" s="311"/>
      <c r="AM61" s="312"/>
      <c r="AS61" s="313"/>
    </row>
    <row r="62" spans="1:56" ht="21.75" customHeight="1" x14ac:dyDescent="0.25">
      <c r="A62" s="235"/>
      <c r="E62" s="417"/>
      <c r="F62" s="417"/>
      <c r="G62" s="417"/>
      <c r="H62" s="417"/>
      <c r="I62" s="417"/>
      <c r="J62" s="417"/>
      <c r="K62" s="417"/>
      <c r="L62" s="418"/>
      <c r="M62" s="428">
        <f>SUM(M63:O81)</f>
        <v>0</v>
      </c>
      <c r="N62" s="429"/>
      <c r="O62" s="430"/>
      <c r="P62" s="404">
        <f>SUM(P63:R81)</f>
        <v>0</v>
      </c>
      <c r="Q62" s="404"/>
      <c r="R62" s="404"/>
      <c r="S62" s="406"/>
      <c r="T62" s="406"/>
      <c r="U62" s="406"/>
      <c r="V62" s="317"/>
      <c r="W62" s="621"/>
      <c r="X62" s="622"/>
      <c r="Y62" s="622"/>
      <c r="Z62" s="622"/>
      <c r="AA62" s="622"/>
      <c r="AB62" s="623"/>
      <c r="AK62" s="311"/>
      <c r="AL62" s="312"/>
      <c r="AR62" s="313"/>
    </row>
    <row r="63" spans="1:56" ht="22.95" customHeight="1" x14ac:dyDescent="0.25">
      <c r="A63" s="318"/>
      <c r="B63" s="407" t="s">
        <v>349</v>
      </c>
      <c r="C63" s="396"/>
      <c r="D63" s="397"/>
      <c r="E63" s="372" t="s">
        <v>205</v>
      </c>
      <c r="F63" s="373"/>
      <c r="G63" s="373"/>
      <c r="H63" s="373"/>
      <c r="I63" s="373"/>
      <c r="J63" s="373"/>
      <c r="K63" s="373"/>
      <c r="L63" s="374"/>
      <c r="M63" s="365">
        <f t="shared" ref="M63:M68" si="0">SUM(P63:Y63)</f>
        <v>0</v>
      </c>
      <c r="N63" s="366"/>
      <c r="O63" s="367"/>
      <c r="P63" s="368"/>
      <c r="Q63" s="368"/>
      <c r="R63" s="368"/>
      <c r="S63" s="405"/>
      <c r="T63" s="405"/>
      <c r="U63" s="405"/>
      <c r="V63" s="321"/>
      <c r="W63" s="432" t="s">
        <v>943</v>
      </c>
      <c r="X63" s="433"/>
      <c r="Y63" s="434"/>
      <c r="Z63" s="615" t="s">
        <v>944</v>
      </c>
      <c r="AA63" s="616"/>
      <c r="AB63" s="617"/>
      <c r="AF63" s="245"/>
      <c r="AK63" s="311"/>
      <c r="AL63" s="312"/>
      <c r="AR63" s="313"/>
    </row>
    <row r="64" spans="1:56" ht="22.95" customHeight="1" x14ac:dyDescent="0.25">
      <c r="A64" s="318"/>
      <c r="B64" s="408"/>
      <c r="C64" s="409"/>
      <c r="D64" s="410"/>
      <c r="E64" s="375" t="s">
        <v>856</v>
      </c>
      <c r="F64" s="376"/>
      <c r="G64" s="376"/>
      <c r="H64" s="376"/>
      <c r="I64" s="376"/>
      <c r="J64" s="376"/>
      <c r="K64" s="376"/>
      <c r="L64" s="377"/>
      <c r="M64" s="365">
        <f t="shared" si="0"/>
        <v>0</v>
      </c>
      <c r="N64" s="366"/>
      <c r="O64" s="367"/>
      <c r="P64" s="368"/>
      <c r="Q64" s="368"/>
      <c r="R64" s="368"/>
      <c r="S64" s="405"/>
      <c r="T64" s="405"/>
      <c r="U64" s="405"/>
      <c r="V64" s="321"/>
      <c r="W64" s="435" t="s">
        <v>945</v>
      </c>
      <c r="X64" s="436"/>
      <c r="Y64" s="437"/>
      <c r="Z64" s="641"/>
      <c r="AA64" s="642"/>
      <c r="AB64" s="643"/>
      <c r="AE64" s="245"/>
      <c r="AK64" s="311"/>
      <c r="AL64" s="312"/>
      <c r="AR64" s="313"/>
    </row>
    <row r="65" spans="1:44" ht="22.95" customHeight="1" x14ac:dyDescent="0.25">
      <c r="A65" s="318"/>
      <c r="B65" s="408"/>
      <c r="C65" s="409"/>
      <c r="D65" s="410"/>
      <c r="E65" s="375" t="s">
        <v>914</v>
      </c>
      <c r="F65" s="376"/>
      <c r="G65" s="376"/>
      <c r="H65" s="376"/>
      <c r="I65" s="376"/>
      <c r="J65" s="376"/>
      <c r="K65" s="376"/>
      <c r="L65" s="377"/>
      <c r="M65" s="365">
        <f t="shared" si="0"/>
        <v>0</v>
      </c>
      <c r="N65" s="366"/>
      <c r="O65" s="367"/>
      <c r="P65" s="368"/>
      <c r="Q65" s="368"/>
      <c r="R65" s="368"/>
      <c r="S65" s="405"/>
      <c r="T65" s="405"/>
      <c r="U65" s="405"/>
      <c r="V65" s="321"/>
      <c r="W65" s="435" t="s">
        <v>946</v>
      </c>
      <c r="X65" s="436"/>
      <c r="Y65" s="437"/>
      <c r="Z65" s="641"/>
      <c r="AA65" s="642"/>
      <c r="AB65" s="643"/>
      <c r="AE65" s="245"/>
      <c r="AF65" s="323"/>
      <c r="AK65" s="311"/>
      <c r="AL65" s="312"/>
      <c r="AR65" s="313"/>
    </row>
    <row r="66" spans="1:44" ht="22.95" customHeight="1" x14ac:dyDescent="0.25">
      <c r="A66" s="318"/>
      <c r="B66" s="408"/>
      <c r="C66" s="409"/>
      <c r="D66" s="410"/>
      <c r="E66" s="375" t="s">
        <v>857</v>
      </c>
      <c r="F66" s="376"/>
      <c r="G66" s="376"/>
      <c r="H66" s="376"/>
      <c r="I66" s="376"/>
      <c r="J66" s="376"/>
      <c r="K66" s="376"/>
      <c r="L66" s="377"/>
      <c r="M66" s="365">
        <f>SUM(P66:Y66)</f>
        <v>0</v>
      </c>
      <c r="N66" s="366"/>
      <c r="O66" s="367"/>
      <c r="P66" s="368"/>
      <c r="Q66" s="368"/>
      <c r="R66" s="368"/>
      <c r="S66" s="405"/>
      <c r="T66" s="405"/>
      <c r="U66" s="405"/>
      <c r="V66" s="321"/>
      <c r="W66" s="635" t="s">
        <v>947</v>
      </c>
      <c r="X66" s="636"/>
      <c r="Y66" s="637"/>
      <c r="Z66" s="632"/>
      <c r="AA66" s="633"/>
      <c r="AB66" s="634"/>
      <c r="AE66" s="245"/>
      <c r="AK66" s="311"/>
      <c r="AL66" s="312"/>
      <c r="AR66" s="313"/>
    </row>
    <row r="67" spans="1:44" ht="22.95" customHeight="1" x14ac:dyDescent="0.25">
      <c r="A67" s="318"/>
      <c r="B67" s="408"/>
      <c r="C67" s="409"/>
      <c r="D67" s="410"/>
      <c r="E67" s="322" t="s">
        <v>858</v>
      </c>
      <c r="F67" s="319"/>
      <c r="G67" s="319"/>
      <c r="H67" s="319"/>
      <c r="I67" s="319"/>
      <c r="J67" s="319"/>
      <c r="K67" s="319"/>
      <c r="L67" s="320"/>
      <c r="M67" s="365">
        <f t="shared" si="0"/>
        <v>0</v>
      </c>
      <c r="N67" s="366"/>
      <c r="O67" s="367"/>
      <c r="P67" s="368"/>
      <c r="Q67" s="368"/>
      <c r="R67" s="368"/>
      <c r="S67" s="405"/>
      <c r="T67" s="405"/>
      <c r="U67" s="405"/>
      <c r="V67" s="321"/>
      <c r="W67" s="638" t="s">
        <v>36</v>
      </c>
      <c r="X67" s="638"/>
      <c r="Y67" s="638"/>
      <c r="Z67" s="644">
        <f>SUM(Z64:AB66)</f>
        <v>0</v>
      </c>
      <c r="AA67" s="644"/>
      <c r="AB67" s="644"/>
      <c r="AE67" s="245"/>
      <c r="AK67" s="311"/>
      <c r="AL67" s="312"/>
      <c r="AR67" s="313"/>
    </row>
    <row r="68" spans="1:44" ht="22.95" customHeight="1" x14ac:dyDescent="0.25">
      <c r="A68" s="318"/>
      <c r="B68" s="408"/>
      <c r="C68" s="409"/>
      <c r="D68" s="410"/>
      <c r="E68" s="375" t="s">
        <v>843</v>
      </c>
      <c r="F68" s="376"/>
      <c r="G68" s="376"/>
      <c r="H68" s="376"/>
      <c r="I68" s="376"/>
      <c r="J68" s="376"/>
      <c r="K68" s="376"/>
      <c r="L68" s="377"/>
      <c r="M68" s="365">
        <f t="shared" si="0"/>
        <v>0</v>
      </c>
      <c r="N68" s="366"/>
      <c r="O68" s="367"/>
      <c r="P68" s="368"/>
      <c r="Q68" s="368"/>
      <c r="R68" s="368"/>
      <c r="S68" s="405"/>
      <c r="T68" s="405"/>
      <c r="U68" s="405"/>
      <c r="V68" s="321"/>
      <c r="W68" s="639"/>
      <c r="X68" s="640"/>
      <c r="Y68" s="640"/>
      <c r="Z68" s="645"/>
      <c r="AA68" s="646"/>
      <c r="AB68" s="646"/>
      <c r="AE68" s="245"/>
      <c r="AK68" s="311"/>
      <c r="AL68" s="312"/>
      <c r="AR68" s="313"/>
    </row>
    <row r="69" spans="1:44" ht="17.25" customHeight="1" x14ac:dyDescent="0.25">
      <c r="A69" s="318"/>
      <c r="B69" s="408"/>
      <c r="C69" s="409"/>
      <c r="D69" s="410"/>
      <c r="E69" s="375" t="s">
        <v>796</v>
      </c>
      <c r="F69" s="376"/>
      <c r="G69" s="376"/>
      <c r="H69" s="376"/>
      <c r="I69" s="376"/>
      <c r="J69" s="376"/>
      <c r="K69" s="376"/>
      <c r="L69" s="377"/>
      <c r="M69" s="365">
        <f t="shared" ref="M69:M70" si="1">SUM(P69:AA69)</f>
        <v>0</v>
      </c>
      <c r="N69" s="366"/>
      <c r="O69" s="367"/>
      <c r="P69" s="368"/>
      <c r="Q69" s="368"/>
      <c r="R69" s="368"/>
      <c r="S69" s="405"/>
      <c r="T69" s="405"/>
      <c r="U69" s="405"/>
      <c r="V69" s="321"/>
      <c r="W69" s="321"/>
      <c r="X69" s="321"/>
      <c r="Y69" s="4"/>
      <c r="Z69" s="4"/>
      <c r="AA69" s="4"/>
      <c r="AB69" s="4"/>
      <c r="AE69" s="245"/>
      <c r="AK69" s="311"/>
      <c r="AL69" s="312"/>
      <c r="AR69" s="313"/>
    </row>
    <row r="70" spans="1:44" ht="18" customHeight="1" x14ac:dyDescent="0.25">
      <c r="A70" s="318"/>
      <c r="B70" s="408"/>
      <c r="C70" s="409"/>
      <c r="D70" s="410"/>
      <c r="E70" s="375" t="s">
        <v>859</v>
      </c>
      <c r="F70" s="376"/>
      <c r="G70" s="376"/>
      <c r="H70" s="376"/>
      <c r="I70" s="376"/>
      <c r="J70" s="376"/>
      <c r="K70" s="376"/>
      <c r="L70" s="377"/>
      <c r="M70" s="365">
        <f t="shared" si="1"/>
        <v>0</v>
      </c>
      <c r="N70" s="366"/>
      <c r="O70" s="367"/>
      <c r="P70" s="368"/>
      <c r="Q70" s="368"/>
      <c r="R70" s="368"/>
      <c r="S70" s="405"/>
      <c r="T70" s="405"/>
      <c r="U70" s="405"/>
      <c r="V70" s="321"/>
      <c r="W70" s="590" t="s">
        <v>952</v>
      </c>
      <c r="X70" s="591"/>
      <c r="Y70" s="591"/>
      <c r="Z70" s="591"/>
      <c r="AA70" s="591"/>
      <c r="AB70" s="592"/>
      <c r="AE70" s="245"/>
      <c r="AK70" s="311"/>
      <c r="AL70" s="312"/>
      <c r="AR70" s="313"/>
    </row>
    <row r="71" spans="1:44" ht="16.5" customHeight="1" x14ac:dyDescent="0.25">
      <c r="A71" s="318"/>
      <c r="B71" s="408"/>
      <c r="C71" s="409"/>
      <c r="D71" s="410"/>
      <c r="E71" s="552" t="s">
        <v>795</v>
      </c>
      <c r="F71" s="553"/>
      <c r="G71" s="553"/>
      <c r="H71" s="553"/>
      <c r="I71" s="553"/>
      <c r="J71" s="553"/>
      <c r="K71" s="553"/>
      <c r="L71" s="554"/>
      <c r="M71" s="365">
        <f t="shared" ref="M71:M81" si="2">SUM(P71:AA71)</f>
        <v>0</v>
      </c>
      <c r="N71" s="366"/>
      <c r="O71" s="367"/>
      <c r="P71" s="368"/>
      <c r="Q71" s="368"/>
      <c r="R71" s="368"/>
      <c r="S71" s="405"/>
      <c r="T71" s="405"/>
      <c r="U71" s="405"/>
      <c r="V71" s="321"/>
      <c r="W71" s="593"/>
      <c r="X71" s="594"/>
      <c r="Y71" s="594"/>
      <c r="Z71" s="594"/>
      <c r="AA71" s="594"/>
      <c r="AB71" s="595"/>
      <c r="AE71" s="245"/>
      <c r="AK71" s="311"/>
      <c r="AL71" s="312"/>
      <c r="AR71" s="313"/>
    </row>
    <row r="72" spans="1:44" ht="18.75" customHeight="1" x14ac:dyDescent="0.25">
      <c r="A72" s="318"/>
      <c r="B72" s="408"/>
      <c r="C72" s="409"/>
      <c r="D72" s="410"/>
      <c r="E72" s="375" t="s">
        <v>710</v>
      </c>
      <c r="F72" s="376"/>
      <c r="G72" s="376"/>
      <c r="H72" s="376"/>
      <c r="I72" s="376"/>
      <c r="J72" s="376"/>
      <c r="K72" s="376"/>
      <c r="L72" s="377"/>
      <c r="M72" s="365">
        <f>SUM(P72:AA72)</f>
        <v>0</v>
      </c>
      <c r="N72" s="366"/>
      <c r="O72" s="367"/>
      <c r="P72" s="368"/>
      <c r="Q72" s="368"/>
      <c r="R72" s="368"/>
      <c r="S72" s="405"/>
      <c r="T72" s="405"/>
      <c r="U72" s="405"/>
      <c r="V72" s="321"/>
      <c r="W72" s="593"/>
      <c r="X72" s="594"/>
      <c r="Y72" s="594"/>
      <c r="Z72" s="594"/>
      <c r="AA72" s="594"/>
      <c r="AB72" s="595"/>
      <c r="AE72" s="245"/>
      <c r="AK72" s="311"/>
      <c r="AL72" s="312"/>
      <c r="AR72" s="313"/>
    </row>
    <row r="73" spans="1:44" ht="20.25" customHeight="1" x14ac:dyDescent="0.25">
      <c r="A73" s="318"/>
      <c r="B73" s="408"/>
      <c r="C73" s="409"/>
      <c r="D73" s="410"/>
      <c r="E73" s="375" t="s">
        <v>794</v>
      </c>
      <c r="F73" s="376"/>
      <c r="G73" s="376"/>
      <c r="H73" s="376"/>
      <c r="I73" s="376"/>
      <c r="J73" s="376"/>
      <c r="K73" s="376"/>
      <c r="L73" s="377"/>
      <c r="M73" s="365">
        <f t="shared" ref="M73:M79" si="3">SUM(P73:U73)</f>
        <v>0</v>
      </c>
      <c r="N73" s="366"/>
      <c r="O73" s="367"/>
      <c r="P73" s="368"/>
      <c r="Q73" s="368"/>
      <c r="R73" s="368"/>
      <c r="S73" s="405"/>
      <c r="T73" s="405"/>
      <c r="U73" s="405"/>
      <c r="V73" s="321"/>
      <c r="W73" s="593"/>
      <c r="X73" s="594"/>
      <c r="Y73" s="594"/>
      <c r="Z73" s="594"/>
      <c r="AA73" s="594"/>
      <c r="AB73" s="595"/>
      <c r="AE73" s="245"/>
      <c r="AK73" s="311"/>
      <c r="AL73" s="312"/>
      <c r="AR73" s="313"/>
    </row>
    <row r="74" spans="1:44" ht="22.95" customHeight="1" x14ac:dyDescent="0.25">
      <c r="A74" s="324"/>
      <c r="B74" s="398"/>
      <c r="C74" s="399"/>
      <c r="D74" s="400"/>
      <c r="E74" s="369" t="s">
        <v>206</v>
      </c>
      <c r="F74" s="370"/>
      <c r="G74" s="370"/>
      <c r="H74" s="370"/>
      <c r="I74" s="370"/>
      <c r="J74" s="370"/>
      <c r="K74" s="370"/>
      <c r="L74" s="371"/>
      <c r="M74" s="365">
        <f t="shared" si="3"/>
        <v>0</v>
      </c>
      <c r="N74" s="366"/>
      <c r="O74" s="367"/>
      <c r="P74" s="368"/>
      <c r="Q74" s="368"/>
      <c r="R74" s="368"/>
      <c r="S74" s="405"/>
      <c r="T74" s="405"/>
      <c r="U74" s="405"/>
      <c r="V74" s="321"/>
      <c r="W74" s="593"/>
      <c r="X74" s="594"/>
      <c r="Y74" s="594"/>
      <c r="Z74" s="594"/>
      <c r="AA74" s="594"/>
      <c r="AB74" s="595"/>
      <c r="AK74" s="311"/>
      <c r="AL74" s="312"/>
      <c r="AR74" s="313"/>
    </row>
    <row r="75" spans="1:44" ht="22.95" customHeight="1" x14ac:dyDescent="0.25">
      <c r="A75" s="318"/>
      <c r="B75" s="407" t="s">
        <v>797</v>
      </c>
      <c r="C75" s="396"/>
      <c r="D75" s="397"/>
      <c r="E75" s="369" t="s">
        <v>207</v>
      </c>
      <c r="F75" s="370"/>
      <c r="G75" s="370"/>
      <c r="H75" s="370"/>
      <c r="I75" s="370"/>
      <c r="J75" s="370"/>
      <c r="K75" s="370"/>
      <c r="L75" s="371"/>
      <c r="M75" s="365">
        <f t="shared" si="3"/>
        <v>0</v>
      </c>
      <c r="N75" s="366"/>
      <c r="O75" s="367"/>
      <c r="P75" s="368"/>
      <c r="Q75" s="368"/>
      <c r="R75" s="368"/>
      <c r="S75" s="405"/>
      <c r="T75" s="405"/>
      <c r="U75" s="405"/>
      <c r="V75" s="321"/>
      <c r="W75" s="593"/>
      <c r="X75" s="594"/>
      <c r="Y75" s="594"/>
      <c r="Z75" s="594"/>
      <c r="AA75" s="594"/>
      <c r="AB75" s="595"/>
      <c r="AK75" s="311"/>
      <c r="AL75" s="312"/>
      <c r="AR75" s="313"/>
    </row>
    <row r="76" spans="1:44" ht="22.95" customHeight="1" x14ac:dyDescent="0.25">
      <c r="A76" s="318"/>
      <c r="B76" s="408"/>
      <c r="C76" s="409"/>
      <c r="D76" s="410"/>
      <c r="E76" s="375" t="s">
        <v>798</v>
      </c>
      <c r="F76" s="376"/>
      <c r="G76" s="376"/>
      <c r="H76" s="376"/>
      <c r="I76" s="376"/>
      <c r="J76" s="376"/>
      <c r="K76" s="376"/>
      <c r="L76" s="377"/>
      <c r="M76" s="365">
        <f t="shared" si="3"/>
        <v>0</v>
      </c>
      <c r="N76" s="366"/>
      <c r="O76" s="367"/>
      <c r="P76" s="368"/>
      <c r="Q76" s="368"/>
      <c r="R76" s="368"/>
      <c r="S76" s="405"/>
      <c r="T76" s="405"/>
      <c r="U76" s="405"/>
      <c r="V76" s="321"/>
      <c r="W76" s="593"/>
      <c r="X76" s="594"/>
      <c r="Y76" s="594"/>
      <c r="Z76" s="594"/>
      <c r="AA76" s="594"/>
      <c r="AB76" s="595"/>
      <c r="AK76" s="311"/>
      <c r="AL76" s="312"/>
      <c r="AR76" s="313"/>
    </row>
    <row r="77" spans="1:44" ht="22.95" customHeight="1" x14ac:dyDescent="0.25">
      <c r="A77" s="318"/>
      <c r="B77" s="398"/>
      <c r="C77" s="399"/>
      <c r="D77" s="400"/>
      <c r="E77" s="605" t="s">
        <v>711</v>
      </c>
      <c r="F77" s="606"/>
      <c r="G77" s="606"/>
      <c r="H77" s="606"/>
      <c r="I77" s="606"/>
      <c r="J77" s="606"/>
      <c r="K77" s="606"/>
      <c r="L77" s="607"/>
      <c r="M77" s="365">
        <f t="shared" si="3"/>
        <v>0</v>
      </c>
      <c r="N77" s="366"/>
      <c r="O77" s="367"/>
      <c r="P77" s="368"/>
      <c r="Q77" s="368"/>
      <c r="R77" s="368"/>
      <c r="S77" s="405"/>
      <c r="T77" s="405"/>
      <c r="U77" s="405"/>
      <c r="V77" s="321"/>
      <c r="W77" s="593"/>
      <c r="X77" s="594"/>
      <c r="Y77" s="594"/>
      <c r="Z77" s="594"/>
      <c r="AA77" s="594"/>
      <c r="AB77" s="595"/>
      <c r="AK77" s="311"/>
      <c r="AL77" s="312"/>
      <c r="AR77" s="313"/>
    </row>
    <row r="78" spans="1:44" ht="21.75" customHeight="1" x14ac:dyDescent="0.25">
      <c r="A78" s="318"/>
      <c r="B78" s="407" t="s">
        <v>800</v>
      </c>
      <c r="C78" s="419"/>
      <c r="D78" s="420"/>
      <c r="E78" s="372" t="s">
        <v>208</v>
      </c>
      <c r="F78" s="373"/>
      <c r="G78" s="373"/>
      <c r="H78" s="373"/>
      <c r="I78" s="373"/>
      <c r="J78" s="373"/>
      <c r="K78" s="373"/>
      <c r="L78" s="374"/>
      <c r="M78" s="365">
        <f t="shared" si="3"/>
        <v>0</v>
      </c>
      <c r="N78" s="366"/>
      <c r="O78" s="367"/>
      <c r="P78" s="368"/>
      <c r="Q78" s="368"/>
      <c r="R78" s="368"/>
      <c r="S78" s="405"/>
      <c r="T78" s="405"/>
      <c r="U78" s="405"/>
      <c r="V78" s="321"/>
      <c r="W78" s="593"/>
      <c r="X78" s="594"/>
      <c r="Y78" s="594"/>
      <c r="Z78" s="594"/>
      <c r="AA78" s="594"/>
      <c r="AB78" s="595"/>
      <c r="AK78" s="311"/>
      <c r="AL78" s="312"/>
      <c r="AR78" s="313"/>
    </row>
    <row r="79" spans="1:44" ht="22.95" customHeight="1" x14ac:dyDescent="0.25">
      <c r="A79" s="318"/>
      <c r="B79" s="421"/>
      <c r="C79" s="422"/>
      <c r="D79" s="423"/>
      <c r="E79" s="378" t="s">
        <v>801</v>
      </c>
      <c r="F79" s="379"/>
      <c r="G79" s="379"/>
      <c r="H79" s="379"/>
      <c r="I79" s="379"/>
      <c r="J79" s="379"/>
      <c r="K79" s="379"/>
      <c r="L79" s="380"/>
      <c r="M79" s="365">
        <f t="shared" si="3"/>
        <v>0</v>
      </c>
      <c r="N79" s="366"/>
      <c r="O79" s="367"/>
      <c r="P79" s="368"/>
      <c r="Q79" s="368"/>
      <c r="R79" s="368"/>
      <c r="S79" s="405"/>
      <c r="T79" s="405"/>
      <c r="U79" s="405"/>
      <c r="V79" s="321"/>
      <c r="W79" s="593"/>
      <c r="X79" s="594"/>
      <c r="Y79" s="594"/>
      <c r="Z79" s="594"/>
      <c r="AA79" s="594"/>
      <c r="AB79" s="595"/>
      <c r="AE79" s="245"/>
      <c r="AK79" s="311"/>
      <c r="AL79" s="312"/>
      <c r="AR79" s="313"/>
    </row>
    <row r="80" spans="1:44" ht="15.75" customHeight="1" x14ac:dyDescent="0.25">
      <c r="A80" s="318"/>
      <c r="B80" s="424"/>
      <c r="C80" s="425"/>
      <c r="D80" s="426"/>
      <c r="E80" s="375" t="s">
        <v>799</v>
      </c>
      <c r="F80" s="376"/>
      <c r="G80" s="376"/>
      <c r="H80" s="376"/>
      <c r="I80" s="376"/>
      <c r="J80" s="376"/>
      <c r="K80" s="376"/>
      <c r="L80" s="377"/>
      <c r="M80" s="365">
        <f>SUM(P80:AA80)</f>
        <v>0</v>
      </c>
      <c r="N80" s="366"/>
      <c r="O80" s="367"/>
      <c r="P80" s="368"/>
      <c r="Q80" s="368"/>
      <c r="R80" s="368"/>
      <c r="S80" s="405"/>
      <c r="T80" s="405"/>
      <c r="U80" s="405"/>
      <c r="V80" s="321"/>
      <c r="W80" s="593"/>
      <c r="X80" s="594"/>
      <c r="Y80" s="594"/>
      <c r="Z80" s="594"/>
      <c r="AA80" s="594"/>
      <c r="AB80" s="595"/>
      <c r="AE80" s="245"/>
      <c r="AK80" s="311"/>
      <c r="AL80" s="312"/>
      <c r="AR80" s="313"/>
    </row>
    <row r="81" spans="1:45" ht="18.75" customHeight="1" x14ac:dyDescent="0.25">
      <c r="A81" s="318"/>
      <c r="B81" s="577" t="s">
        <v>906</v>
      </c>
      <c r="C81" s="578"/>
      <c r="D81" s="579"/>
      <c r="E81" s="581" t="s">
        <v>905</v>
      </c>
      <c r="F81" s="582"/>
      <c r="G81" s="582"/>
      <c r="H81" s="582"/>
      <c r="I81" s="582"/>
      <c r="J81" s="582"/>
      <c r="K81" s="582"/>
      <c r="L81" s="583"/>
      <c r="M81" s="625">
        <f t="shared" si="2"/>
        <v>0</v>
      </c>
      <c r="N81" s="626"/>
      <c r="O81" s="627"/>
      <c r="P81" s="368"/>
      <c r="Q81" s="368"/>
      <c r="R81" s="368"/>
      <c r="S81" s="405"/>
      <c r="T81" s="405"/>
      <c r="U81" s="405"/>
      <c r="V81" s="321"/>
      <c r="W81" s="596"/>
      <c r="X81" s="597"/>
      <c r="Y81" s="597"/>
      <c r="Z81" s="597"/>
      <c r="AA81" s="597"/>
      <c r="AB81" s="598"/>
      <c r="AK81" s="311"/>
      <c r="AL81" s="312"/>
      <c r="AR81" s="313"/>
    </row>
    <row r="82" spans="1:45" ht="17.25" customHeight="1" x14ac:dyDescent="0.25">
      <c r="A82" s="235"/>
      <c r="B82" s="580" t="s">
        <v>712</v>
      </c>
      <c r="C82" s="580"/>
      <c r="D82" s="580"/>
      <c r="E82" s="580"/>
      <c r="F82" s="580"/>
      <c r="G82" s="580"/>
      <c r="H82" s="580"/>
      <c r="I82" s="580"/>
      <c r="J82" s="580"/>
      <c r="K82" s="580"/>
      <c r="L82" s="580"/>
      <c r="M82" s="580"/>
      <c r="N82" s="479"/>
      <c r="O82" s="479"/>
      <c r="P82" s="479"/>
      <c r="Q82" s="479"/>
      <c r="R82" s="479"/>
      <c r="S82" s="479"/>
      <c r="T82" s="479"/>
      <c r="U82" s="479"/>
      <c r="V82" s="479"/>
      <c r="W82" s="479"/>
      <c r="X82" s="479"/>
      <c r="Y82" s="479"/>
      <c r="Z82" s="479"/>
      <c r="AA82" s="479"/>
      <c r="AL82" s="311"/>
      <c r="AM82" s="312"/>
      <c r="AS82" s="313"/>
    </row>
    <row r="83" spans="1:45" ht="23.25" customHeight="1" x14ac:dyDescent="0.25">
      <c r="A83" s="235"/>
      <c r="B83" s="609" t="s">
        <v>691</v>
      </c>
      <c r="C83" s="610"/>
      <c r="D83" s="610"/>
      <c r="E83" s="610"/>
      <c r="F83" s="610"/>
      <c r="G83" s="610"/>
      <c r="H83" s="610"/>
      <c r="I83" s="610"/>
      <c r="J83" s="610"/>
      <c r="K83" s="611"/>
      <c r="L83" s="612">
        <f>SUM(kostges-M77)</f>
        <v>0</v>
      </c>
      <c r="M83" s="613"/>
      <c r="N83" s="614"/>
      <c r="O83" s="575">
        <v>1</v>
      </c>
      <c r="P83" s="576"/>
      <c r="Q83" s="576"/>
      <c r="R83" s="325"/>
      <c r="S83" s="325"/>
      <c r="T83" s="325"/>
      <c r="U83" s="602" t="s">
        <v>953</v>
      </c>
      <c r="V83" s="603"/>
      <c r="W83" s="603"/>
      <c r="X83" s="604"/>
      <c r="Y83" s="325"/>
      <c r="Z83" s="326"/>
      <c r="AA83" s="326"/>
      <c r="AC83" s="245"/>
      <c r="AL83" s="311"/>
      <c r="AM83" s="312"/>
      <c r="AS83" s="313"/>
    </row>
    <row r="84" spans="1:45" ht="14.25" customHeight="1" x14ac:dyDescent="0.25">
      <c r="A84" s="235"/>
      <c r="B84" s="608" t="s">
        <v>690</v>
      </c>
      <c r="C84" s="608"/>
      <c r="D84" s="608"/>
      <c r="E84" s="608"/>
      <c r="F84" s="608"/>
      <c r="G84" s="608"/>
      <c r="H84" s="608"/>
      <c r="I84" s="608"/>
      <c r="J84" s="608"/>
      <c r="K84" s="608"/>
      <c r="L84" s="411">
        <f>SUM(kostges-esfges-entgeltTNges)</f>
        <v>0</v>
      </c>
      <c r="M84" s="411"/>
      <c r="N84" s="411"/>
      <c r="O84" s="575" t="str">
        <f>IF(L83=0,"",SUM(aktivkofi)/L83)</f>
        <v/>
      </c>
      <c r="P84" s="576"/>
      <c r="Q84" s="576"/>
      <c r="R84" s="245"/>
      <c r="S84" s="245"/>
      <c r="T84" s="245"/>
      <c r="U84" s="585" t="s">
        <v>906</v>
      </c>
      <c r="V84" s="586"/>
      <c r="W84" s="412" t="str">
        <f>IF(kostges-TNgebges-spendenges-einnahmenges=0,"",SUM(esfges/(kostges-TNgebges-spendenges-einnahmenges)))</f>
        <v/>
      </c>
      <c r="X84" s="413"/>
      <c r="Y84" s="245"/>
      <c r="Z84" s="326"/>
      <c r="AA84" s="326"/>
      <c r="AB84" s="327"/>
      <c r="AL84" s="311"/>
      <c r="AM84" s="312"/>
      <c r="AS84" s="313"/>
    </row>
    <row r="85" spans="1:45" ht="11.25" customHeight="1" x14ac:dyDescent="0.25">
      <c r="A85" s="235"/>
      <c r="B85" s="328">
        <f>SUM(M77:O81)</f>
        <v>0</v>
      </c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587"/>
      <c r="V85" s="587"/>
      <c r="W85" s="414"/>
      <c r="X85" s="414"/>
      <c r="Y85" s="328"/>
      <c r="Z85" s="328"/>
      <c r="AA85" s="328"/>
      <c r="AB85" s="327"/>
      <c r="AL85" s="311"/>
      <c r="AM85" s="312"/>
      <c r="AS85" s="313"/>
    </row>
    <row r="86" spans="1:45" ht="11.25" customHeight="1" x14ac:dyDescent="0.25">
      <c r="A86" s="647" t="s">
        <v>948</v>
      </c>
      <c r="B86" s="648"/>
      <c r="C86" s="648"/>
      <c r="D86" s="648"/>
      <c r="E86" s="648"/>
      <c r="F86" s="648"/>
      <c r="G86" s="648"/>
      <c r="H86" s="648"/>
      <c r="I86" s="648"/>
      <c r="J86" s="648"/>
      <c r="K86" s="648"/>
      <c r="L86" s="648"/>
      <c r="M86" s="648"/>
      <c r="N86" s="648"/>
      <c r="O86" s="648"/>
      <c r="P86" s="648"/>
      <c r="Q86" s="648"/>
      <c r="R86" s="648"/>
      <c r="S86" s="648"/>
      <c r="T86" s="648"/>
      <c r="U86" s="648"/>
      <c r="V86" s="648"/>
      <c r="W86" s="648"/>
      <c r="X86" s="648"/>
      <c r="Y86" s="648"/>
      <c r="Z86" s="648"/>
      <c r="AA86" s="649"/>
      <c r="AB86" s="649"/>
      <c r="AL86" s="311"/>
      <c r="AM86" s="312"/>
      <c r="AS86" s="313"/>
    </row>
    <row r="87" spans="1:45" ht="63" customHeight="1" x14ac:dyDescent="0.25">
      <c r="A87" s="650"/>
      <c r="B87" s="650"/>
      <c r="C87" s="650"/>
      <c r="D87" s="650"/>
      <c r="E87" s="650"/>
      <c r="F87" s="650"/>
      <c r="G87" s="650"/>
      <c r="H87" s="650"/>
      <c r="I87" s="650"/>
      <c r="J87" s="650"/>
      <c r="K87" s="650"/>
      <c r="L87" s="650"/>
      <c r="M87" s="650"/>
      <c r="N87" s="650"/>
      <c r="O87" s="650"/>
      <c r="P87" s="650"/>
      <c r="Q87" s="650"/>
      <c r="R87" s="650"/>
      <c r="S87" s="650"/>
      <c r="T87" s="650"/>
      <c r="U87" s="650"/>
      <c r="V87" s="650"/>
      <c r="W87" s="650"/>
      <c r="X87" s="650"/>
      <c r="Y87" s="650"/>
      <c r="Z87" s="650"/>
      <c r="AA87" s="651"/>
      <c r="AB87" s="652"/>
      <c r="AL87" s="311"/>
      <c r="AM87" s="312"/>
      <c r="AS87" s="313"/>
    </row>
    <row r="88" spans="1:45" ht="11.25" customHeight="1" x14ac:dyDescent="0.25">
      <c r="A88" s="655" t="s">
        <v>949</v>
      </c>
      <c r="B88" s="436"/>
      <c r="C88" s="436"/>
      <c r="D88" s="436"/>
      <c r="E88" s="436"/>
      <c r="F88" s="436"/>
      <c r="G88" s="437"/>
      <c r="H88" s="655" t="s">
        <v>950</v>
      </c>
      <c r="I88" s="436"/>
      <c r="J88" s="436"/>
      <c r="K88" s="436"/>
      <c r="L88" s="437"/>
      <c r="M88" s="653" t="s">
        <v>538</v>
      </c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49"/>
      <c r="AB88" s="649"/>
      <c r="AL88" s="311"/>
      <c r="AM88" s="312"/>
      <c r="AS88" s="313"/>
    </row>
    <row r="89" spans="1:45" ht="11.25" customHeight="1" x14ac:dyDescent="0.25">
      <c r="A89" s="571"/>
      <c r="B89" s="572"/>
      <c r="C89" s="572"/>
      <c r="D89" s="572"/>
      <c r="E89" s="572"/>
      <c r="F89" s="572"/>
      <c r="G89" s="573"/>
      <c r="H89" s="571"/>
      <c r="I89" s="572"/>
      <c r="J89" s="572"/>
      <c r="K89" s="572"/>
      <c r="L89" s="573"/>
      <c r="M89" s="652"/>
      <c r="N89" s="652"/>
      <c r="O89" s="652"/>
      <c r="P89" s="652"/>
      <c r="Q89" s="652"/>
      <c r="R89" s="652"/>
      <c r="S89" s="652"/>
      <c r="T89" s="652"/>
      <c r="U89" s="652"/>
      <c r="V89" s="652"/>
      <c r="W89" s="652"/>
      <c r="X89" s="652"/>
      <c r="Y89" s="652"/>
      <c r="Z89" s="652"/>
      <c r="AA89" s="654"/>
      <c r="AB89" s="654"/>
      <c r="AL89" s="311"/>
      <c r="AM89" s="312"/>
      <c r="AS89" s="313"/>
    </row>
    <row r="90" spans="1:45" ht="11.25" customHeight="1" x14ac:dyDescent="0.25">
      <c r="A90" s="571"/>
      <c r="B90" s="572"/>
      <c r="C90" s="572"/>
      <c r="D90" s="572"/>
      <c r="E90" s="572"/>
      <c r="F90" s="572"/>
      <c r="G90" s="573"/>
      <c r="H90" s="571"/>
      <c r="I90" s="572"/>
      <c r="J90" s="572"/>
      <c r="K90" s="572"/>
      <c r="L90" s="573"/>
      <c r="M90" s="652"/>
      <c r="N90" s="652"/>
      <c r="O90" s="652"/>
      <c r="P90" s="652"/>
      <c r="Q90" s="652"/>
      <c r="R90" s="652"/>
      <c r="S90" s="652"/>
      <c r="T90" s="652"/>
      <c r="U90" s="652"/>
      <c r="V90" s="652"/>
      <c r="W90" s="652"/>
      <c r="X90" s="652"/>
      <c r="Y90" s="652"/>
      <c r="Z90" s="652"/>
      <c r="AA90" s="654"/>
      <c r="AB90" s="654"/>
      <c r="AL90" s="311"/>
      <c r="AM90" s="312"/>
      <c r="AS90" s="313"/>
    </row>
    <row r="91" spans="1:45" ht="11.25" customHeight="1" x14ac:dyDescent="0.25">
      <c r="A91" s="571"/>
      <c r="B91" s="572"/>
      <c r="C91" s="572"/>
      <c r="D91" s="572"/>
      <c r="E91" s="572"/>
      <c r="F91" s="572"/>
      <c r="G91" s="573"/>
      <c r="H91" s="571"/>
      <c r="I91" s="572"/>
      <c r="J91" s="572"/>
      <c r="K91" s="572"/>
      <c r="L91" s="573"/>
      <c r="M91" s="652"/>
      <c r="N91" s="652"/>
      <c r="O91" s="652"/>
      <c r="P91" s="652"/>
      <c r="Q91" s="652"/>
      <c r="R91" s="652"/>
      <c r="S91" s="652"/>
      <c r="T91" s="652"/>
      <c r="U91" s="652"/>
      <c r="V91" s="652"/>
      <c r="W91" s="652"/>
      <c r="X91" s="652"/>
      <c r="Y91" s="652"/>
      <c r="Z91" s="652"/>
      <c r="AA91" s="654"/>
      <c r="AB91" s="654"/>
      <c r="AL91" s="311"/>
      <c r="AM91" s="312"/>
      <c r="AS91" s="313"/>
    </row>
    <row r="92" spans="1:45" ht="11.25" customHeight="1" x14ac:dyDescent="0.25">
      <c r="A92" s="571"/>
      <c r="B92" s="572"/>
      <c r="C92" s="572"/>
      <c r="D92" s="572"/>
      <c r="E92" s="572"/>
      <c r="F92" s="572"/>
      <c r="G92" s="573"/>
      <c r="H92" s="571"/>
      <c r="I92" s="572"/>
      <c r="J92" s="572"/>
      <c r="K92" s="572"/>
      <c r="L92" s="573"/>
      <c r="M92" s="652"/>
      <c r="N92" s="652"/>
      <c r="O92" s="652"/>
      <c r="P92" s="652"/>
      <c r="Q92" s="652"/>
      <c r="R92" s="652"/>
      <c r="S92" s="652"/>
      <c r="T92" s="652"/>
      <c r="U92" s="652"/>
      <c r="V92" s="652"/>
      <c r="W92" s="652"/>
      <c r="X92" s="652"/>
      <c r="Y92" s="652"/>
      <c r="Z92" s="652"/>
      <c r="AA92" s="654"/>
      <c r="AB92" s="654"/>
      <c r="AL92" s="311"/>
      <c r="AM92" s="312"/>
      <c r="AS92" s="313"/>
    </row>
    <row r="93" spans="1:45" ht="11.25" customHeight="1" x14ac:dyDescent="0.25">
      <c r="A93" s="571"/>
      <c r="B93" s="572"/>
      <c r="C93" s="572"/>
      <c r="D93" s="572"/>
      <c r="E93" s="572"/>
      <c r="F93" s="572"/>
      <c r="G93" s="573"/>
      <c r="H93" s="571"/>
      <c r="I93" s="572"/>
      <c r="J93" s="572"/>
      <c r="K93" s="572"/>
      <c r="L93" s="573"/>
      <c r="M93" s="652"/>
      <c r="N93" s="652"/>
      <c r="O93" s="652"/>
      <c r="P93" s="652"/>
      <c r="Q93" s="652"/>
      <c r="R93" s="652"/>
      <c r="S93" s="652"/>
      <c r="T93" s="652"/>
      <c r="U93" s="652"/>
      <c r="V93" s="652"/>
      <c r="W93" s="652"/>
      <c r="X93" s="652"/>
      <c r="Y93" s="652"/>
      <c r="Z93" s="652"/>
      <c r="AA93" s="654"/>
      <c r="AB93" s="654"/>
      <c r="AL93" s="311"/>
      <c r="AM93" s="312"/>
      <c r="AS93" s="313"/>
    </row>
    <row r="94" spans="1:45" ht="6.6" customHeight="1" x14ac:dyDescent="0.25">
      <c r="A94" s="235"/>
      <c r="B94" s="588"/>
      <c r="C94" s="588"/>
      <c r="D94" s="588"/>
      <c r="E94" s="588"/>
      <c r="F94" s="588"/>
      <c r="G94" s="588"/>
      <c r="H94" s="588"/>
      <c r="I94" s="588"/>
      <c r="J94" s="588"/>
      <c r="AD94" s="200"/>
      <c r="AL94" s="311"/>
      <c r="AM94" s="312"/>
      <c r="AS94" s="313"/>
    </row>
    <row r="95" spans="1:45" ht="12.75" customHeight="1" x14ac:dyDescent="0.25">
      <c r="A95" s="276"/>
      <c r="B95" s="276" t="s">
        <v>372</v>
      </c>
      <c r="AL95" s="311"/>
      <c r="AM95" s="312"/>
      <c r="AS95" s="313"/>
    </row>
    <row r="96" spans="1:45" ht="12.75" customHeight="1" x14ac:dyDescent="0.25">
      <c r="A96" s="235"/>
      <c r="B96" s="221" t="s">
        <v>145</v>
      </c>
      <c r="K96" s="217" t="s">
        <v>374</v>
      </c>
      <c r="Z96" s="584"/>
      <c r="AA96" s="584"/>
      <c r="AL96" s="311"/>
      <c r="AM96" s="312"/>
      <c r="AS96" s="313"/>
    </row>
    <row r="97" spans="1:45" ht="12.75" customHeight="1" x14ac:dyDescent="0.25">
      <c r="A97" s="235"/>
      <c r="B97" s="221" t="s">
        <v>373</v>
      </c>
      <c r="C97" s="329"/>
      <c r="D97" s="329"/>
      <c r="I97" s="206"/>
      <c r="Z97" s="584"/>
      <c r="AA97" s="584"/>
      <c r="AL97" s="311"/>
      <c r="AM97" s="312"/>
      <c r="AS97" s="313"/>
    </row>
    <row r="98" spans="1:45" ht="12.75" customHeight="1" x14ac:dyDescent="0.25">
      <c r="A98" s="235"/>
      <c r="B98" s="221"/>
      <c r="C98" s="329"/>
      <c r="D98" s="329"/>
      <c r="F98" s="246"/>
      <c r="H98" s="589" t="s">
        <v>209</v>
      </c>
      <c r="I98" s="589"/>
      <c r="J98" s="589"/>
      <c r="K98" s="589"/>
      <c r="L98" s="589"/>
      <c r="M98" s="589"/>
      <c r="N98" s="589"/>
      <c r="O98" s="589"/>
      <c r="Q98" s="246" t="s">
        <v>847</v>
      </c>
      <c r="Y98" s="580" t="s">
        <v>842</v>
      </c>
      <c r="Z98" s="580"/>
      <c r="AA98" s="580"/>
      <c r="AB98" s="481"/>
      <c r="AL98" s="311"/>
      <c r="AM98" s="312"/>
    </row>
    <row r="99" spans="1:45" ht="15" customHeight="1" x14ac:dyDescent="0.25">
      <c r="B99" s="574" t="str">
        <f>IF(BAges&gt;0,"Bundesagentur für Arbeit"," ")</f>
        <v xml:space="preserve"> </v>
      </c>
      <c r="C99" s="574"/>
      <c r="D99" s="574"/>
      <c r="E99" s="574"/>
      <c r="F99" s="574"/>
      <c r="G99" s="574"/>
      <c r="H99" s="403"/>
      <c r="I99" s="403"/>
      <c r="J99" s="403"/>
      <c r="K99" s="403"/>
      <c r="L99" s="403"/>
      <c r="M99" s="403"/>
      <c r="N99" s="403"/>
      <c r="O99" s="403"/>
      <c r="P99" s="356"/>
      <c r="Q99" s="403"/>
      <c r="R99" s="403"/>
      <c r="S99" s="403"/>
      <c r="T99" s="403"/>
      <c r="U99" s="403"/>
      <c r="V99" s="403"/>
      <c r="W99" s="403"/>
      <c r="X99" s="356"/>
      <c r="Y99" s="402"/>
      <c r="Z99" s="402"/>
      <c r="AA99" s="402"/>
      <c r="AB99" s="402"/>
      <c r="AD99" s="245"/>
    </row>
    <row r="100" spans="1:45" x14ac:dyDescent="0.25">
      <c r="B100" s="574" t="str">
        <f>IF(mastdges&gt;0,"MASTD"," ")</f>
        <v xml:space="preserve"> </v>
      </c>
      <c r="C100" s="574"/>
      <c r="D100" s="574"/>
      <c r="E100" s="574"/>
      <c r="F100" s="574"/>
      <c r="G100" s="574"/>
      <c r="H100" s="403"/>
      <c r="I100" s="403"/>
      <c r="J100" s="403"/>
      <c r="K100" s="403"/>
      <c r="L100" s="403"/>
      <c r="M100" s="403"/>
      <c r="N100" s="403"/>
      <c r="O100" s="403"/>
      <c r="P100" s="356"/>
      <c r="Q100" s="403"/>
      <c r="R100" s="403"/>
      <c r="S100" s="403"/>
      <c r="T100" s="403"/>
      <c r="U100" s="403"/>
      <c r="V100" s="403"/>
      <c r="W100" s="403"/>
      <c r="X100" s="356"/>
      <c r="Y100" s="402"/>
      <c r="Z100" s="402"/>
      <c r="AA100" s="402"/>
      <c r="AB100" s="402"/>
    </row>
    <row r="101" spans="1:45" x14ac:dyDescent="0.25">
      <c r="B101" s="574" t="str">
        <f>IF(mbges&gt;0,"Mittel BM"," ")</f>
        <v xml:space="preserve"> </v>
      </c>
      <c r="C101" s="574"/>
      <c r="D101" s="574"/>
      <c r="E101" s="574"/>
      <c r="F101" s="574"/>
      <c r="G101" s="574"/>
      <c r="H101" s="403"/>
      <c r="I101" s="403"/>
      <c r="J101" s="403"/>
      <c r="K101" s="403"/>
      <c r="L101" s="403"/>
      <c r="M101" s="403"/>
      <c r="N101" s="403"/>
      <c r="O101" s="403"/>
      <c r="P101" s="356"/>
      <c r="Q101" s="403"/>
      <c r="R101" s="403"/>
      <c r="S101" s="403"/>
      <c r="T101" s="403"/>
      <c r="U101" s="403"/>
      <c r="V101" s="403"/>
      <c r="W101" s="403"/>
      <c r="X101" s="356"/>
      <c r="Y101" s="402"/>
      <c r="Z101" s="402"/>
      <c r="AA101" s="402"/>
      <c r="AB101" s="402"/>
    </row>
    <row r="102" spans="1:45" x14ac:dyDescent="0.25">
      <c r="B102" s="574" t="str">
        <f>IF(mffkiges&gt;0,"Mittel MFFKI"," ")</f>
        <v xml:space="preserve"> </v>
      </c>
      <c r="C102" s="574"/>
      <c r="D102" s="574"/>
      <c r="E102" s="574"/>
      <c r="F102" s="574"/>
      <c r="G102" s="574"/>
      <c r="H102" s="403"/>
      <c r="I102" s="403"/>
      <c r="J102" s="403"/>
      <c r="K102" s="403"/>
      <c r="L102" s="403"/>
      <c r="M102" s="403"/>
      <c r="N102" s="403"/>
      <c r="O102" s="403"/>
      <c r="P102" s="356"/>
      <c r="Q102" s="403"/>
      <c r="R102" s="403"/>
      <c r="S102" s="403"/>
      <c r="T102" s="403"/>
      <c r="U102" s="403"/>
      <c r="V102" s="403"/>
      <c r="W102" s="403"/>
      <c r="X102" s="356"/>
      <c r="Y102" s="402"/>
      <c r="Z102" s="402"/>
      <c r="AA102" s="402"/>
      <c r="AB102" s="574"/>
    </row>
    <row r="103" spans="1:45" x14ac:dyDescent="0.25">
      <c r="A103" s="198"/>
      <c r="B103" s="574" t="str">
        <f>IF(mwgges&gt;0,"Mittel MWG"," ")</f>
        <v xml:space="preserve"> </v>
      </c>
      <c r="C103" s="574"/>
      <c r="D103" s="574"/>
      <c r="E103" s="574"/>
      <c r="F103" s="574"/>
      <c r="G103" s="574"/>
      <c r="H103" s="403"/>
      <c r="I103" s="403"/>
      <c r="J103" s="403"/>
      <c r="K103" s="403"/>
      <c r="L103" s="403"/>
      <c r="M103" s="403"/>
      <c r="N103" s="403"/>
      <c r="O103" s="403"/>
      <c r="P103" s="356"/>
      <c r="Q103" s="403"/>
      <c r="R103" s="403"/>
      <c r="S103" s="403"/>
      <c r="T103" s="403"/>
      <c r="U103" s="403"/>
      <c r="V103" s="403"/>
      <c r="W103" s="403"/>
      <c r="X103" s="356"/>
      <c r="Y103" s="402"/>
      <c r="Z103" s="402"/>
      <c r="AA103" s="402"/>
      <c r="AB103" s="574"/>
    </row>
    <row r="104" spans="1:45" x14ac:dyDescent="0.25">
      <c r="A104" s="198"/>
      <c r="B104" s="562" t="str">
        <f>IF(justizges&gt;0,"Mittel JM"," ")</f>
        <v xml:space="preserve"> </v>
      </c>
      <c r="C104" s="562"/>
      <c r="D104" s="562"/>
      <c r="E104" s="562"/>
      <c r="F104" s="562"/>
      <c r="G104" s="562"/>
      <c r="H104" s="403"/>
      <c r="I104" s="403"/>
      <c r="J104" s="403"/>
      <c r="K104" s="403"/>
      <c r="L104" s="403"/>
      <c r="M104" s="403"/>
      <c r="N104" s="403"/>
      <c r="O104" s="403"/>
      <c r="P104" s="356"/>
      <c r="Q104" s="403"/>
      <c r="R104" s="403"/>
      <c r="S104" s="403"/>
      <c r="T104" s="403"/>
      <c r="U104" s="403"/>
      <c r="V104" s="403"/>
      <c r="W104" s="403"/>
      <c r="X104" s="356"/>
      <c r="Y104" s="402"/>
      <c r="Z104" s="402"/>
      <c r="AA104" s="402"/>
      <c r="AB104" s="574"/>
    </row>
    <row r="105" spans="1:45" x14ac:dyDescent="0.25">
      <c r="A105" s="198"/>
      <c r="B105" s="562" t="str">
        <f>IF(mwvlwges&gt;0,"Mittel MWVLW"," ")</f>
        <v xml:space="preserve"> </v>
      </c>
      <c r="C105" s="562"/>
      <c r="D105" s="562"/>
      <c r="E105" s="562"/>
      <c r="F105" s="562"/>
      <c r="G105" s="562"/>
      <c r="H105" s="403"/>
      <c r="I105" s="403"/>
      <c r="J105" s="403"/>
      <c r="K105" s="403"/>
      <c r="L105" s="403"/>
      <c r="M105" s="403"/>
      <c r="N105" s="403"/>
      <c r="O105" s="403"/>
      <c r="P105" s="356"/>
      <c r="Q105" s="403"/>
      <c r="R105" s="403"/>
      <c r="S105" s="403"/>
      <c r="T105" s="403"/>
      <c r="U105" s="403"/>
      <c r="V105" s="403"/>
      <c r="W105" s="403"/>
      <c r="X105" s="356"/>
      <c r="Y105" s="402"/>
      <c r="Z105" s="402"/>
      <c r="AA105" s="402"/>
      <c r="AB105" s="574"/>
    </row>
    <row r="106" spans="1:45" x14ac:dyDescent="0.25">
      <c r="A106" s="198"/>
      <c r="B106" s="562" t="str">
        <f>IF(mkuemges&gt;0,"Mittel MKUEM"," ")</f>
        <v xml:space="preserve"> </v>
      </c>
      <c r="C106" s="562"/>
      <c r="D106" s="562"/>
      <c r="E106" s="562"/>
      <c r="F106" s="562"/>
      <c r="G106" s="562"/>
      <c r="H106" s="403"/>
      <c r="I106" s="403"/>
      <c r="J106" s="403"/>
      <c r="K106" s="403"/>
      <c r="L106" s="403"/>
      <c r="M106" s="403"/>
      <c r="N106" s="403"/>
      <c r="O106" s="403"/>
      <c r="P106" s="356"/>
      <c r="Q106" s="403"/>
      <c r="R106" s="403"/>
      <c r="S106" s="403"/>
      <c r="T106" s="403"/>
      <c r="U106" s="403"/>
      <c r="V106" s="403"/>
      <c r="W106" s="403"/>
      <c r="X106" s="356"/>
      <c r="Y106" s="402"/>
      <c r="Z106" s="402"/>
      <c r="AA106" s="402"/>
      <c r="AB106" s="574"/>
    </row>
    <row r="107" spans="1:45" x14ac:dyDescent="0.25">
      <c r="A107" s="198"/>
      <c r="B107" s="562" t="str">
        <f>IF(andlandges&gt;0,"weitere Landesmittel"," ")</f>
        <v xml:space="preserve"> </v>
      </c>
      <c r="C107" s="562"/>
      <c r="D107" s="562"/>
      <c r="E107" s="562"/>
      <c r="F107" s="562"/>
      <c r="G107" s="562"/>
      <c r="H107" s="403"/>
      <c r="I107" s="403"/>
      <c r="J107" s="403"/>
      <c r="K107" s="403"/>
      <c r="L107" s="403"/>
      <c r="M107" s="403"/>
      <c r="N107" s="403"/>
      <c r="O107" s="403"/>
      <c r="P107" s="356"/>
      <c r="Q107" s="403"/>
      <c r="R107" s="403"/>
      <c r="S107" s="403"/>
      <c r="T107" s="403"/>
      <c r="U107" s="403"/>
      <c r="V107" s="403"/>
      <c r="W107" s="403"/>
      <c r="X107" s="356"/>
      <c r="Y107" s="402"/>
      <c r="Z107" s="402"/>
      <c r="AA107" s="402"/>
      <c r="AB107" s="402"/>
    </row>
    <row r="108" spans="1:45" x14ac:dyDescent="0.25">
      <c r="A108" s="198"/>
      <c r="B108" s="562" t="str">
        <f>IF(komges&gt;0,"Kommunale Mittel"," ")</f>
        <v xml:space="preserve"> </v>
      </c>
      <c r="C108" s="562"/>
      <c r="D108" s="562"/>
      <c r="E108" s="562"/>
      <c r="F108" s="562"/>
      <c r="G108" s="562"/>
      <c r="H108" s="403"/>
      <c r="I108" s="403"/>
      <c r="J108" s="403"/>
      <c r="K108" s="403"/>
      <c r="L108" s="403"/>
      <c r="M108" s="403"/>
      <c r="N108" s="403"/>
      <c r="O108" s="403"/>
      <c r="P108" s="356"/>
      <c r="Q108" s="403"/>
      <c r="R108" s="403"/>
      <c r="S108" s="403"/>
      <c r="T108" s="403"/>
      <c r="U108" s="403"/>
      <c r="V108" s="403"/>
      <c r="W108" s="403"/>
      <c r="X108" s="356"/>
      <c r="Y108" s="402"/>
      <c r="Z108" s="402"/>
      <c r="AA108" s="402"/>
      <c r="AB108" s="402"/>
    </row>
    <row r="109" spans="1:45" x14ac:dyDescent="0.25">
      <c r="A109" s="198"/>
      <c r="B109" s="562" t="str">
        <f>IF(SgbIIges&gt;0,"Mittel Jobcenter"," ")</f>
        <v xml:space="preserve"> </v>
      </c>
      <c r="C109" s="562"/>
      <c r="D109" s="562"/>
      <c r="E109" s="562"/>
      <c r="F109" s="562"/>
      <c r="G109" s="562"/>
      <c r="H109" s="403"/>
      <c r="I109" s="403"/>
      <c r="J109" s="403"/>
      <c r="K109" s="403"/>
      <c r="L109" s="403"/>
      <c r="M109" s="403"/>
      <c r="N109" s="403"/>
      <c r="O109" s="403"/>
      <c r="P109" s="356"/>
      <c r="Q109" s="403"/>
      <c r="R109" s="403"/>
      <c r="S109" s="403"/>
      <c r="T109" s="403"/>
      <c r="U109" s="403"/>
      <c r="V109" s="403"/>
      <c r="W109" s="403"/>
      <c r="X109" s="356"/>
      <c r="Y109" s="402"/>
      <c r="Z109" s="402"/>
      <c r="AA109" s="402"/>
      <c r="AB109" s="402"/>
    </row>
    <row r="110" spans="1:45" ht="15" customHeight="1" x14ac:dyDescent="0.25">
      <c r="A110" s="198"/>
      <c r="B110" s="562" t="str">
        <f>IF(sstgoefges&gt;0,"sstg. öffentl. Mittel"," ")</f>
        <v xml:space="preserve"> </v>
      </c>
      <c r="C110" s="562"/>
      <c r="D110" s="562"/>
      <c r="E110" s="562"/>
      <c r="F110" s="562"/>
      <c r="G110" s="562"/>
      <c r="H110" s="403"/>
      <c r="I110" s="403"/>
      <c r="J110" s="403"/>
      <c r="K110" s="403"/>
      <c r="L110" s="403"/>
      <c r="M110" s="403"/>
      <c r="N110" s="403"/>
      <c r="O110" s="403"/>
      <c r="P110" s="356"/>
      <c r="Q110" s="403"/>
      <c r="R110" s="403"/>
      <c r="S110" s="403"/>
      <c r="T110" s="403"/>
      <c r="U110" s="403"/>
      <c r="V110" s="403"/>
      <c r="W110" s="403"/>
      <c r="X110" s="356"/>
      <c r="Y110" s="402"/>
      <c r="Z110" s="402"/>
      <c r="AA110" s="402"/>
      <c r="AB110" s="402"/>
    </row>
    <row r="111" spans="1:45" ht="13.95" customHeight="1" x14ac:dyDescent="0.25">
      <c r="A111" s="198"/>
      <c r="B111" s="562" t="str">
        <f>IF(ZuschussAGges&gt;0,"Zuschuss Unternehmen"," ")</f>
        <v xml:space="preserve"> </v>
      </c>
      <c r="C111" s="562"/>
      <c r="D111" s="562"/>
      <c r="E111" s="562"/>
      <c r="F111" s="562"/>
      <c r="G111" s="562"/>
      <c r="H111" s="403"/>
      <c r="I111" s="403"/>
      <c r="J111" s="403"/>
      <c r="K111" s="403"/>
      <c r="L111" s="403"/>
      <c r="M111" s="403"/>
      <c r="N111" s="403"/>
      <c r="O111" s="403"/>
      <c r="P111" s="356"/>
      <c r="Q111" s="403"/>
      <c r="R111" s="403"/>
      <c r="S111" s="403"/>
      <c r="T111" s="403"/>
      <c r="U111" s="403"/>
      <c r="V111" s="403"/>
      <c r="W111" s="403"/>
      <c r="X111" s="356"/>
      <c r="Y111" s="402"/>
      <c r="Z111" s="402"/>
      <c r="AA111" s="402"/>
      <c r="AB111" s="402"/>
    </row>
    <row r="112" spans="1:45" ht="16.5" customHeight="1" x14ac:dyDescent="0.25">
      <c r="A112" s="198"/>
      <c r="B112" s="562" t="str">
        <f>IF(spendenges&gt;0,"Spenden"," ")</f>
        <v xml:space="preserve"> </v>
      </c>
      <c r="C112" s="562"/>
      <c r="D112" s="562"/>
      <c r="E112" s="562"/>
      <c r="F112" s="562"/>
      <c r="G112" s="562"/>
      <c r="H112" s="403"/>
      <c r="I112" s="403"/>
      <c r="J112" s="403"/>
      <c r="K112" s="403"/>
      <c r="L112" s="403"/>
      <c r="M112" s="403"/>
      <c r="N112" s="403"/>
      <c r="O112" s="403"/>
      <c r="P112" s="356"/>
      <c r="Q112" s="403"/>
      <c r="R112" s="403"/>
      <c r="S112" s="403"/>
      <c r="T112" s="403"/>
      <c r="U112" s="403"/>
      <c r="V112" s="403"/>
      <c r="W112" s="403"/>
      <c r="X112" s="356"/>
      <c r="Y112" s="402"/>
      <c r="Z112" s="402"/>
      <c r="AA112" s="402"/>
      <c r="AB112" s="402"/>
    </row>
    <row r="113" spans="1:44" ht="7.5" customHeight="1" thickBot="1" x14ac:dyDescent="0.3">
      <c r="A113" s="198"/>
      <c r="B113" s="330"/>
      <c r="C113" s="330"/>
      <c r="D113" s="330"/>
      <c r="E113" s="330"/>
      <c r="F113" s="330"/>
      <c r="G113" s="330"/>
      <c r="H113" s="331"/>
      <c r="I113" s="331"/>
      <c r="J113" s="331"/>
      <c r="K113" s="331"/>
      <c r="L113" s="331"/>
      <c r="M113" s="331"/>
      <c r="N113" s="331"/>
      <c r="O113" s="331"/>
      <c r="P113" s="332"/>
      <c r="Q113" s="331"/>
      <c r="R113" s="331"/>
      <c r="S113" s="331"/>
      <c r="T113" s="331"/>
      <c r="U113" s="331"/>
      <c r="V113" s="331"/>
      <c r="W113" s="331"/>
      <c r="X113" s="332"/>
      <c r="Y113" s="333"/>
      <c r="Z113" s="333"/>
      <c r="AA113" s="333"/>
      <c r="AB113" s="333"/>
    </row>
    <row r="114" spans="1:44" ht="12" customHeight="1" x14ac:dyDescent="0.25">
      <c r="A114" s="198"/>
      <c r="B114" s="128"/>
      <c r="C114" s="128"/>
      <c r="D114" s="128"/>
      <c r="E114" s="128"/>
      <c r="F114" s="128"/>
      <c r="G114" s="128"/>
      <c r="H114" s="334"/>
      <c r="I114" s="334"/>
      <c r="J114" s="334"/>
      <c r="K114" s="334"/>
      <c r="L114" s="334"/>
      <c r="M114" s="334"/>
      <c r="N114" s="334"/>
      <c r="O114" s="334"/>
      <c r="P114" s="245"/>
      <c r="Q114" s="334"/>
      <c r="R114" s="334"/>
      <c r="S114" s="334"/>
      <c r="T114" s="334"/>
      <c r="U114" s="334"/>
      <c r="V114" s="334"/>
      <c r="W114" s="334"/>
      <c r="X114" s="245"/>
      <c r="Y114" s="335"/>
      <c r="Z114" s="335"/>
      <c r="AA114" s="335"/>
      <c r="AB114" s="335"/>
    </row>
    <row r="115" spans="1:44" ht="19.2" customHeight="1" x14ac:dyDescent="0.25">
      <c r="A115" s="336" t="s">
        <v>226</v>
      </c>
      <c r="B115" s="337" t="s">
        <v>227</v>
      </c>
      <c r="C115" s="337"/>
      <c r="D115" s="337"/>
      <c r="E115" s="337"/>
      <c r="F115" s="338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40"/>
      <c r="AC115" s="340"/>
      <c r="AM115" s="205"/>
    </row>
    <row r="116" spans="1:44" ht="12.75" customHeight="1" x14ac:dyDescent="0.3">
      <c r="A116" s="341">
        <v>1</v>
      </c>
      <c r="B116" s="234" t="s">
        <v>845</v>
      </c>
      <c r="C116" s="257"/>
      <c r="D116" s="257"/>
      <c r="E116" s="257"/>
      <c r="F116" s="257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M116" s="205"/>
    </row>
    <row r="117" spans="1:44" ht="6" customHeight="1" x14ac:dyDescent="0.3">
      <c r="A117" s="341"/>
      <c r="B117" s="234"/>
      <c r="C117" s="257"/>
      <c r="D117" s="257"/>
      <c r="E117" s="257"/>
      <c r="F117" s="257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M117" s="205"/>
    </row>
    <row r="118" spans="1:44" ht="147" customHeight="1" x14ac:dyDescent="0.3">
      <c r="A118" s="341"/>
      <c r="B118" s="565"/>
      <c r="C118" s="566"/>
      <c r="D118" s="566"/>
      <c r="E118" s="566"/>
      <c r="F118" s="566"/>
      <c r="G118" s="566"/>
      <c r="H118" s="566"/>
      <c r="I118" s="566"/>
      <c r="J118" s="566"/>
      <c r="K118" s="566"/>
      <c r="L118" s="566"/>
      <c r="M118" s="566"/>
      <c r="N118" s="566"/>
      <c r="O118" s="566"/>
      <c r="P118" s="566"/>
      <c r="Q118" s="566"/>
      <c r="R118" s="566"/>
      <c r="S118" s="566"/>
      <c r="T118" s="566"/>
      <c r="U118" s="566"/>
      <c r="V118" s="566"/>
      <c r="W118" s="566"/>
      <c r="X118" s="566"/>
      <c r="Y118" s="566"/>
      <c r="Z118" s="566"/>
      <c r="AA118" s="566"/>
      <c r="AB118" s="567"/>
      <c r="AM118" s="205"/>
    </row>
    <row r="119" spans="1:44" ht="223.5" customHeight="1" x14ac:dyDescent="0.25">
      <c r="A119" s="125"/>
      <c r="B119" s="568"/>
      <c r="C119" s="569"/>
      <c r="D119" s="569"/>
      <c r="E119" s="569"/>
      <c r="F119" s="569"/>
      <c r="G119" s="569"/>
      <c r="H119" s="569"/>
      <c r="I119" s="569"/>
      <c r="J119" s="569"/>
      <c r="K119" s="569"/>
      <c r="L119" s="569"/>
      <c r="M119" s="569"/>
      <c r="N119" s="569"/>
      <c r="O119" s="569"/>
      <c r="P119" s="569"/>
      <c r="Q119" s="569"/>
      <c r="R119" s="569"/>
      <c r="S119" s="569"/>
      <c r="T119" s="569"/>
      <c r="U119" s="569"/>
      <c r="V119" s="569"/>
      <c r="W119" s="569"/>
      <c r="X119" s="569"/>
      <c r="Y119" s="569"/>
      <c r="Z119" s="569"/>
      <c r="AA119" s="569"/>
      <c r="AB119" s="570"/>
      <c r="AM119" s="205"/>
    </row>
    <row r="120" spans="1:44" ht="21" customHeight="1" x14ac:dyDescent="0.25">
      <c r="A120" s="342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M120" s="205"/>
      <c r="AR120" s="276"/>
    </row>
    <row r="121" spans="1:44" ht="12.75" customHeight="1" x14ac:dyDescent="0.3">
      <c r="A121" s="341">
        <v>2</v>
      </c>
      <c r="B121" s="401" t="s">
        <v>846</v>
      </c>
      <c r="C121" s="401"/>
      <c r="D121" s="401"/>
      <c r="E121" s="401"/>
      <c r="F121" s="401"/>
      <c r="G121" s="401"/>
      <c r="H121" s="401"/>
      <c r="I121" s="401"/>
      <c r="J121" s="401"/>
      <c r="K121" s="401"/>
      <c r="L121" s="401"/>
      <c r="M121" s="401"/>
      <c r="N121" s="401"/>
      <c r="O121" s="401"/>
      <c r="P121" s="401"/>
      <c r="Q121" s="401"/>
      <c r="R121" s="401"/>
      <c r="S121" s="401"/>
      <c r="T121" s="401"/>
      <c r="U121" s="401"/>
      <c r="V121" s="401"/>
      <c r="W121" s="401"/>
      <c r="X121" s="401"/>
      <c r="Y121" s="401"/>
      <c r="Z121" s="401"/>
      <c r="AA121" s="401"/>
    </row>
    <row r="122" spans="1:44" ht="12.6" hidden="1" customHeight="1" x14ac:dyDescent="0.3">
      <c r="A122" s="341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</row>
    <row r="123" spans="1:44" ht="148.19999999999999" customHeight="1" x14ac:dyDescent="0.3">
      <c r="A123" s="341"/>
      <c r="B123" s="565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  <c r="AB123" s="383"/>
    </row>
    <row r="124" spans="1:44" ht="255.6" customHeight="1" x14ac:dyDescent="0.25">
      <c r="A124" s="343"/>
      <c r="B124" s="599"/>
      <c r="C124" s="600"/>
      <c r="D124" s="600"/>
      <c r="E124" s="600"/>
      <c r="F124" s="600"/>
      <c r="G124" s="600"/>
      <c r="H124" s="600"/>
      <c r="I124" s="600"/>
      <c r="J124" s="600"/>
      <c r="K124" s="600"/>
      <c r="L124" s="600"/>
      <c r="M124" s="600"/>
      <c r="N124" s="600"/>
      <c r="O124" s="600"/>
      <c r="P124" s="600"/>
      <c r="Q124" s="600"/>
      <c r="R124" s="600"/>
      <c r="S124" s="600"/>
      <c r="T124" s="600"/>
      <c r="U124" s="600"/>
      <c r="V124" s="600"/>
      <c r="W124" s="600"/>
      <c r="X124" s="600"/>
      <c r="Y124" s="600"/>
      <c r="Z124" s="600"/>
      <c r="AA124" s="600"/>
      <c r="AB124" s="601"/>
      <c r="AM124" s="214"/>
    </row>
    <row r="125" spans="1:44" ht="207.75" customHeight="1" x14ac:dyDescent="0.25">
      <c r="A125" s="342"/>
      <c r="B125" s="384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6"/>
      <c r="AM125" s="276"/>
    </row>
    <row r="126" spans="1:44" ht="34.799999999999997" customHeight="1" x14ac:dyDescent="0.3">
      <c r="A126" s="341">
        <v>3</v>
      </c>
      <c r="B126" s="392" t="s">
        <v>763</v>
      </c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</row>
    <row r="127" spans="1:44" ht="300" customHeight="1" x14ac:dyDescent="0.25">
      <c r="A127" s="343"/>
      <c r="B127" s="381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3"/>
    </row>
    <row r="128" spans="1:44" ht="268.2" customHeight="1" x14ac:dyDescent="0.25">
      <c r="A128" s="342"/>
      <c r="B128" s="384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6"/>
    </row>
    <row r="129" spans="1:28" ht="29.4" customHeight="1" x14ac:dyDescent="0.3">
      <c r="A129" s="341">
        <v>4</v>
      </c>
      <c r="B129" s="257" t="s">
        <v>752</v>
      </c>
      <c r="C129" s="234"/>
      <c r="D129" s="234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</row>
    <row r="130" spans="1:28" ht="2.4" customHeight="1" x14ac:dyDescent="0.3">
      <c r="A130" s="341"/>
      <c r="B130" s="257"/>
      <c r="C130" s="234"/>
      <c r="D130" s="234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</row>
    <row r="131" spans="1:28" ht="196.8" customHeight="1" x14ac:dyDescent="0.3">
      <c r="A131" s="341"/>
      <c r="B131" s="381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3"/>
    </row>
    <row r="132" spans="1:28" ht="181.8" customHeight="1" x14ac:dyDescent="0.25">
      <c r="A132" s="343"/>
      <c r="B132" s="599"/>
      <c r="C132" s="600"/>
      <c r="D132" s="600"/>
      <c r="E132" s="600"/>
      <c r="F132" s="600"/>
      <c r="G132" s="600"/>
      <c r="H132" s="600"/>
      <c r="I132" s="600"/>
      <c r="J132" s="600"/>
      <c r="K132" s="600"/>
      <c r="L132" s="600"/>
      <c r="M132" s="600"/>
      <c r="N132" s="600"/>
      <c r="O132" s="600"/>
      <c r="P132" s="600"/>
      <c r="Q132" s="600"/>
      <c r="R132" s="600"/>
      <c r="S132" s="600"/>
      <c r="T132" s="600"/>
      <c r="U132" s="600"/>
      <c r="V132" s="600"/>
      <c r="W132" s="600"/>
      <c r="X132" s="600"/>
      <c r="Y132" s="600"/>
      <c r="Z132" s="600"/>
      <c r="AA132" s="600"/>
      <c r="AB132" s="601"/>
    </row>
    <row r="133" spans="1:28" ht="100.5" customHeight="1" x14ac:dyDescent="0.25">
      <c r="A133" s="344"/>
      <c r="B133" s="568"/>
      <c r="C133" s="569"/>
      <c r="D133" s="569"/>
      <c r="E133" s="569"/>
      <c r="F133" s="569"/>
      <c r="G133" s="569"/>
      <c r="H133" s="569"/>
      <c r="I133" s="569"/>
      <c r="J133" s="569"/>
      <c r="K133" s="569"/>
      <c r="L133" s="569"/>
      <c r="M133" s="569"/>
      <c r="N133" s="569"/>
      <c r="O133" s="569"/>
      <c r="P133" s="569"/>
      <c r="Q133" s="569"/>
      <c r="R133" s="569"/>
      <c r="S133" s="569"/>
      <c r="T133" s="569"/>
      <c r="U133" s="569"/>
      <c r="V133" s="569"/>
      <c r="W133" s="569"/>
      <c r="X133" s="569"/>
      <c r="Y133" s="569"/>
      <c r="Z133" s="569"/>
      <c r="AA133" s="569"/>
      <c r="AB133" s="570"/>
    </row>
    <row r="134" spans="1:28" ht="19.5" customHeight="1" x14ac:dyDescent="0.25">
      <c r="A134" s="344"/>
      <c r="B134" s="345"/>
      <c r="C134" s="345"/>
      <c r="D134" s="345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/>
      <c r="U134" s="345"/>
      <c r="V134" s="345"/>
      <c r="W134" s="345"/>
      <c r="X134" s="345"/>
      <c r="Y134" s="345"/>
      <c r="Z134" s="345"/>
      <c r="AA134" s="345"/>
    </row>
    <row r="135" spans="1:28" ht="14.25" customHeight="1" x14ac:dyDescent="0.3">
      <c r="A135" s="341">
        <v>5</v>
      </c>
      <c r="B135" s="257" t="s">
        <v>823</v>
      </c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</row>
    <row r="136" spans="1:28" ht="241.8" customHeight="1" x14ac:dyDescent="0.3">
      <c r="A136" s="341"/>
      <c r="B136" s="565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3"/>
    </row>
    <row r="137" spans="1:28" ht="167.25" customHeight="1" x14ac:dyDescent="0.25">
      <c r="A137" s="343"/>
      <c r="B137" s="384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6"/>
    </row>
    <row r="138" spans="1:28" ht="12.75" customHeight="1" x14ac:dyDescent="0.25">
      <c r="A138" s="343"/>
      <c r="B138" s="346"/>
      <c r="C138" s="346"/>
      <c r="D138" s="346"/>
      <c r="E138" s="346"/>
      <c r="F138" s="346"/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  <c r="T138" s="346"/>
      <c r="U138" s="346"/>
      <c r="V138" s="346"/>
      <c r="W138" s="346"/>
      <c r="X138" s="346"/>
      <c r="Y138" s="346"/>
      <c r="Z138" s="346"/>
      <c r="AA138" s="346"/>
      <c r="AB138" s="346"/>
    </row>
    <row r="139" spans="1:28" ht="25.2" customHeight="1" x14ac:dyDescent="0.25">
      <c r="A139" s="336" t="s">
        <v>729</v>
      </c>
      <c r="B139" s="337" t="s">
        <v>975</v>
      </c>
      <c r="C139" s="234"/>
      <c r="D139" s="234"/>
      <c r="E139" s="234"/>
      <c r="F139" s="234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</row>
    <row r="140" spans="1:28" ht="21" customHeight="1" x14ac:dyDescent="0.25">
      <c r="A140" s="336"/>
      <c r="B140" s="337"/>
      <c r="C140" s="337"/>
      <c r="D140" s="337"/>
      <c r="E140" s="337"/>
      <c r="F140" s="219"/>
      <c r="G140" s="359" t="s">
        <v>979</v>
      </c>
      <c r="H140" s="396"/>
      <c r="I140" s="396"/>
      <c r="J140" s="396"/>
      <c r="K140" s="396"/>
      <c r="L140" s="397"/>
      <c r="M140" s="359" t="s">
        <v>980</v>
      </c>
      <c r="N140" s="360"/>
      <c r="O140" s="360"/>
      <c r="P140" s="360"/>
      <c r="Q140" s="359" t="s">
        <v>976</v>
      </c>
      <c r="R140" s="360"/>
      <c r="S140" s="360"/>
      <c r="T140" s="360"/>
      <c r="U140" s="360"/>
      <c r="V140" s="360"/>
      <c r="W140" s="360"/>
      <c r="X140" s="363"/>
      <c r="Y140" s="359" t="s">
        <v>977</v>
      </c>
      <c r="Z140" s="396"/>
      <c r="AA140" s="396"/>
      <c r="AB140" s="397"/>
    </row>
    <row r="141" spans="1:28" ht="22.2" customHeight="1" x14ac:dyDescent="0.25">
      <c r="A141" s="336"/>
      <c r="B141" s="337"/>
      <c r="C141" s="337"/>
      <c r="D141" s="337"/>
      <c r="E141" s="337"/>
      <c r="G141" s="398"/>
      <c r="H141" s="399"/>
      <c r="I141" s="399"/>
      <c r="J141" s="399"/>
      <c r="K141" s="399"/>
      <c r="L141" s="400"/>
      <c r="M141" s="361"/>
      <c r="N141" s="362"/>
      <c r="O141" s="362"/>
      <c r="P141" s="362"/>
      <c r="Q141" s="361"/>
      <c r="R141" s="362"/>
      <c r="S141" s="362"/>
      <c r="T141" s="362"/>
      <c r="U141" s="362"/>
      <c r="V141" s="362"/>
      <c r="W141" s="362"/>
      <c r="X141" s="364"/>
      <c r="Y141" s="398"/>
      <c r="Z141" s="399"/>
      <c r="AA141" s="399"/>
      <c r="AB141" s="400"/>
    </row>
    <row r="142" spans="1:28" ht="29.25" customHeight="1" x14ac:dyDescent="0.25">
      <c r="A142" s="198"/>
      <c r="B142" s="389" t="s">
        <v>228</v>
      </c>
      <c r="C142" s="390"/>
      <c r="D142" s="390"/>
      <c r="E142" s="390"/>
      <c r="F142" s="391"/>
      <c r="G142" s="393"/>
      <c r="H142" s="394"/>
      <c r="I142" s="394"/>
      <c r="J142" s="394"/>
      <c r="K142" s="394"/>
      <c r="L142" s="395"/>
      <c r="M142" s="393"/>
      <c r="N142" s="394"/>
      <c r="O142" s="394"/>
      <c r="P142" s="394"/>
      <c r="Q142" s="357"/>
      <c r="R142" s="357"/>
      <c r="S142" s="357"/>
      <c r="T142" s="357"/>
      <c r="U142" s="358"/>
      <c r="V142" s="358"/>
      <c r="W142" s="358"/>
      <c r="X142" s="358"/>
      <c r="Y142" s="387"/>
      <c r="Z142" s="388"/>
      <c r="AA142" s="388"/>
      <c r="AB142" s="388"/>
    </row>
    <row r="143" spans="1:28" ht="24.75" customHeight="1" x14ac:dyDescent="0.25">
      <c r="A143" s="198"/>
      <c r="B143" s="389" t="s">
        <v>229</v>
      </c>
      <c r="C143" s="390"/>
      <c r="D143" s="390"/>
      <c r="E143" s="390"/>
      <c r="F143" s="391"/>
      <c r="G143" s="393"/>
      <c r="H143" s="394"/>
      <c r="I143" s="394"/>
      <c r="J143" s="394"/>
      <c r="K143" s="394"/>
      <c r="L143" s="395"/>
      <c r="M143" s="393"/>
      <c r="N143" s="394"/>
      <c r="O143" s="394"/>
      <c r="P143" s="394"/>
      <c r="Q143" s="357"/>
      <c r="R143" s="357"/>
      <c r="S143" s="357"/>
      <c r="T143" s="357"/>
      <c r="U143" s="358"/>
      <c r="V143" s="358"/>
      <c r="W143" s="358"/>
      <c r="X143" s="358"/>
      <c r="Y143" s="563"/>
      <c r="Z143" s="564"/>
      <c r="AA143" s="564"/>
      <c r="AB143" s="564"/>
    </row>
    <row r="144" spans="1:28" ht="26.25" customHeight="1" x14ac:dyDescent="0.25">
      <c r="A144" s="198"/>
      <c r="B144" s="389" t="s">
        <v>289</v>
      </c>
      <c r="C144" s="390"/>
      <c r="D144" s="390"/>
      <c r="E144" s="390"/>
      <c r="F144" s="391"/>
      <c r="G144" s="393"/>
      <c r="H144" s="394"/>
      <c r="I144" s="394"/>
      <c r="J144" s="394"/>
      <c r="K144" s="394"/>
      <c r="L144" s="395"/>
      <c r="M144" s="393"/>
      <c r="N144" s="394"/>
      <c r="O144" s="394"/>
      <c r="P144" s="394"/>
      <c r="Q144" s="357"/>
      <c r="R144" s="357"/>
      <c r="S144" s="357"/>
      <c r="T144" s="357"/>
      <c r="U144" s="358"/>
      <c r="V144" s="358"/>
      <c r="W144" s="358"/>
      <c r="X144" s="358"/>
      <c r="Y144" s="387"/>
      <c r="Z144" s="388"/>
      <c r="AA144" s="388"/>
      <c r="AB144" s="388"/>
    </row>
    <row r="145" spans="1:29" ht="7.95" customHeight="1" x14ac:dyDescent="0.25">
      <c r="A145" s="198"/>
      <c r="B145" s="347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</row>
    <row r="146" spans="1:29" ht="14.4" customHeight="1" x14ac:dyDescent="0.25">
      <c r="A146" s="234"/>
      <c r="B146" s="234" t="s">
        <v>985</v>
      </c>
      <c r="C146" s="337"/>
      <c r="D146" s="337"/>
      <c r="E146" s="337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</row>
    <row r="147" spans="1:29" ht="6.6" customHeight="1" x14ac:dyDescent="0.25">
      <c r="A147" s="234"/>
      <c r="B147" s="234"/>
      <c r="C147" s="337"/>
      <c r="D147" s="337"/>
      <c r="E147" s="337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</row>
    <row r="148" spans="1:29" ht="115.2" customHeight="1" x14ac:dyDescent="0.25">
      <c r="A148" s="234"/>
      <c r="B148" s="565"/>
      <c r="C148" s="566"/>
      <c r="D148" s="566"/>
      <c r="E148" s="566"/>
      <c r="F148" s="566"/>
      <c r="G148" s="566"/>
      <c r="H148" s="566"/>
      <c r="I148" s="566"/>
      <c r="J148" s="566"/>
      <c r="K148" s="566"/>
      <c r="L148" s="566"/>
      <c r="M148" s="566"/>
      <c r="N148" s="566"/>
      <c r="O148" s="566"/>
      <c r="P148" s="566"/>
      <c r="Q148" s="566"/>
      <c r="R148" s="566"/>
      <c r="S148" s="566"/>
      <c r="T148" s="566"/>
      <c r="U148" s="566"/>
      <c r="V148" s="566"/>
      <c r="W148" s="566"/>
      <c r="X148" s="566"/>
      <c r="Y148" s="566"/>
      <c r="Z148" s="566"/>
      <c r="AA148" s="566"/>
      <c r="AB148" s="567"/>
    </row>
    <row r="149" spans="1:29" ht="108" customHeight="1" x14ac:dyDescent="0.25">
      <c r="A149" s="343"/>
      <c r="B149" s="568"/>
      <c r="C149" s="569"/>
      <c r="D149" s="569"/>
      <c r="E149" s="569"/>
      <c r="F149" s="569"/>
      <c r="G149" s="569"/>
      <c r="H149" s="569"/>
      <c r="I149" s="569"/>
      <c r="J149" s="569"/>
      <c r="K149" s="569"/>
      <c r="L149" s="569"/>
      <c r="M149" s="569"/>
      <c r="N149" s="569"/>
      <c r="O149" s="569"/>
      <c r="P149" s="569"/>
      <c r="Q149" s="569"/>
      <c r="R149" s="569"/>
      <c r="S149" s="569"/>
      <c r="T149" s="569"/>
      <c r="U149" s="569"/>
      <c r="V149" s="569"/>
      <c r="W149" s="569"/>
      <c r="X149" s="569"/>
      <c r="Y149" s="569"/>
      <c r="Z149" s="569"/>
      <c r="AA149" s="569"/>
      <c r="AB149" s="570"/>
    </row>
    <row r="150" spans="1:29" ht="4.95" customHeight="1" x14ac:dyDescent="0.25">
      <c r="A150" s="266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</row>
    <row r="151" spans="1:29" ht="12.75" customHeight="1" x14ac:dyDescent="0.3">
      <c r="A151" s="341" t="s">
        <v>730</v>
      </c>
      <c r="B151" s="257" t="s">
        <v>997</v>
      </c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</row>
    <row r="152" spans="1:29" ht="12.75" customHeight="1" x14ac:dyDescent="0.25">
      <c r="A152" s="342"/>
      <c r="B152" s="348"/>
      <c r="C152" s="349"/>
      <c r="D152" s="349"/>
      <c r="E152" s="349"/>
      <c r="F152" s="349"/>
      <c r="G152" s="349"/>
      <c r="H152" s="350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</row>
    <row r="153" spans="1:29" ht="10.199999999999999" customHeight="1" x14ac:dyDescent="0.25">
      <c r="A153" s="342"/>
      <c r="B153" s="351"/>
      <c r="C153" s="352"/>
      <c r="D153" s="352"/>
      <c r="E153" s="352"/>
      <c r="F153" s="352"/>
      <c r="G153" s="352"/>
      <c r="H153" s="353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</row>
    <row r="154" spans="1:29" ht="4.95" customHeight="1" x14ac:dyDescent="0.25">
      <c r="A154" s="342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</row>
    <row r="155" spans="1:29" ht="12.75" customHeight="1" x14ac:dyDescent="0.3">
      <c r="A155" s="341" t="s">
        <v>731</v>
      </c>
      <c r="B155" s="257" t="s">
        <v>978</v>
      </c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</row>
    <row r="156" spans="1:29" ht="12.75" customHeight="1" x14ac:dyDescent="0.25">
      <c r="A156" s="342"/>
      <c r="B156" s="348"/>
      <c r="C156" s="239"/>
      <c r="D156" s="239"/>
      <c r="E156" s="239"/>
      <c r="F156" s="239"/>
      <c r="G156" s="239"/>
      <c r="H156" s="240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</row>
    <row r="157" spans="1:29" ht="7.95" customHeight="1" x14ac:dyDescent="0.25">
      <c r="A157" s="342"/>
      <c r="B157" s="351"/>
      <c r="C157" s="354"/>
      <c r="D157" s="354"/>
      <c r="E157" s="354"/>
      <c r="F157" s="354"/>
      <c r="G157" s="354"/>
      <c r="H157" s="35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</row>
    <row r="158" spans="1:29" ht="4.95" customHeight="1" x14ac:dyDescent="0.25">
      <c r="A158" s="342"/>
      <c r="B158" s="354"/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560"/>
      <c r="AC158" s="561"/>
    </row>
    <row r="159" spans="1:29" x14ac:dyDescent="0.25"/>
    <row r="160" spans="1:29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ht="13.2" hidden="1" customHeight="1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</sheetData>
  <sheetProtection algorithmName="SHA-512" hashValue="rriNktVfEHgU9l117RHDatVxdCuH9Y/Pm8YA5lF9kMmK4im1jB0Due2WIFU7wN3Ck0e2biKW7GHO8VSA8Y/mXQ==" saltValue="zf4bCz1xArHN7pQmi58rbA==" spinCount="100000" sheet="1" selectLockedCells="1"/>
  <customSheetViews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96">
    <mergeCell ref="Z66:AB66"/>
    <mergeCell ref="W66:Y66"/>
    <mergeCell ref="W67:Y67"/>
    <mergeCell ref="W68:Y68"/>
    <mergeCell ref="Z64:AB64"/>
    <mergeCell ref="Z65:AB65"/>
    <mergeCell ref="Z67:AB67"/>
    <mergeCell ref="Z68:AB68"/>
    <mergeCell ref="Y98:AB98"/>
    <mergeCell ref="A86:AB86"/>
    <mergeCell ref="A87:AB87"/>
    <mergeCell ref="M88:AB88"/>
    <mergeCell ref="M89:AB89"/>
    <mergeCell ref="M90:AB90"/>
    <mergeCell ref="M91:AB91"/>
    <mergeCell ref="M92:AB92"/>
    <mergeCell ref="M93:AB93"/>
    <mergeCell ref="A88:G88"/>
    <mergeCell ref="H88:L88"/>
    <mergeCell ref="H89:L89"/>
    <mergeCell ref="H90:L90"/>
    <mergeCell ref="H91:L91"/>
    <mergeCell ref="H92:L92"/>
    <mergeCell ref="H93:L93"/>
    <mergeCell ref="A90:G90"/>
    <mergeCell ref="Z63:AB63"/>
    <mergeCell ref="W61:AB62"/>
    <mergeCell ref="U38:AB38"/>
    <mergeCell ref="E80:L80"/>
    <mergeCell ref="M81:O81"/>
    <mergeCell ref="M80:O80"/>
    <mergeCell ref="P80:R80"/>
    <mergeCell ref="S78:U78"/>
    <mergeCell ref="P81:R81"/>
    <mergeCell ref="S81:U81"/>
    <mergeCell ref="M77:O77"/>
    <mergeCell ref="S80:U80"/>
    <mergeCell ref="S77:U77"/>
    <mergeCell ref="P77:R77"/>
    <mergeCell ref="P79:R79"/>
    <mergeCell ref="M78:O78"/>
    <mergeCell ref="S69:U69"/>
    <mergeCell ref="B57:E57"/>
    <mergeCell ref="S74:U74"/>
    <mergeCell ref="M61:O61"/>
    <mergeCell ref="S67:U67"/>
    <mergeCell ref="S68:U68"/>
    <mergeCell ref="S63:U63"/>
    <mergeCell ref="W70:AB81"/>
    <mergeCell ref="B131:AB133"/>
    <mergeCell ref="B123:AB125"/>
    <mergeCell ref="P73:R73"/>
    <mergeCell ref="P75:R75"/>
    <mergeCell ref="S79:U79"/>
    <mergeCell ref="M74:O74"/>
    <mergeCell ref="P74:R74"/>
    <mergeCell ref="P78:R78"/>
    <mergeCell ref="H100:O100"/>
    <mergeCell ref="H102:O102"/>
    <mergeCell ref="Y102:AB102"/>
    <mergeCell ref="U83:X83"/>
    <mergeCell ref="B75:D77"/>
    <mergeCell ref="S76:U76"/>
    <mergeCell ref="E77:L77"/>
    <mergeCell ref="B84:K84"/>
    <mergeCell ref="B83:K83"/>
    <mergeCell ref="L83:N83"/>
    <mergeCell ref="O83:Q83"/>
    <mergeCell ref="Y101:AB101"/>
    <mergeCell ref="B103:G103"/>
    <mergeCell ref="H103:O103"/>
    <mergeCell ref="Q103:W103"/>
    <mergeCell ref="H101:O101"/>
    <mergeCell ref="B101:G101"/>
    <mergeCell ref="B102:G102"/>
    <mergeCell ref="B100:G100"/>
    <mergeCell ref="Q99:W99"/>
    <mergeCell ref="Q100:W100"/>
    <mergeCell ref="H99:O99"/>
    <mergeCell ref="Q101:W101"/>
    <mergeCell ref="E75:L75"/>
    <mergeCell ref="O84:Q84"/>
    <mergeCell ref="B81:D81"/>
    <mergeCell ref="B82:AA82"/>
    <mergeCell ref="E81:L81"/>
    <mergeCell ref="Y100:AB100"/>
    <mergeCell ref="Y99:AB99"/>
    <mergeCell ref="Z96:AA97"/>
    <mergeCell ref="B99:G99"/>
    <mergeCell ref="U84:V85"/>
    <mergeCell ref="S75:U75"/>
    <mergeCell ref="B94:J94"/>
    <mergeCell ref="H98:O98"/>
    <mergeCell ref="A91:G91"/>
    <mergeCell ref="A92:G92"/>
    <mergeCell ref="A93:G93"/>
    <mergeCell ref="A89:G89"/>
    <mergeCell ref="Q111:W111"/>
    <mergeCell ref="Y107:AB107"/>
    <mergeCell ref="Y106:AB106"/>
    <mergeCell ref="Y109:AB109"/>
    <mergeCell ref="Q106:W106"/>
    <mergeCell ref="Q109:W109"/>
    <mergeCell ref="H104:O104"/>
    <mergeCell ref="B109:G109"/>
    <mergeCell ref="B110:G110"/>
    <mergeCell ref="H106:O106"/>
    <mergeCell ref="H110:O110"/>
    <mergeCell ref="Y104:AB104"/>
    <mergeCell ref="Y105:AB105"/>
    <mergeCell ref="B104:G104"/>
    <mergeCell ref="Q104:W104"/>
    <mergeCell ref="H105:O105"/>
    <mergeCell ref="H111:O111"/>
    <mergeCell ref="B111:G111"/>
    <mergeCell ref="H109:O109"/>
    <mergeCell ref="Y108:AB108"/>
    <mergeCell ref="Y103:AB103"/>
    <mergeCell ref="Y110:AB110"/>
    <mergeCell ref="Q102:W102"/>
    <mergeCell ref="AB158:AC158"/>
    <mergeCell ref="B107:G107"/>
    <mergeCell ref="B105:G105"/>
    <mergeCell ref="B144:F144"/>
    <mergeCell ref="Q107:W107"/>
    <mergeCell ref="H107:O107"/>
    <mergeCell ref="B108:G108"/>
    <mergeCell ref="Q105:W105"/>
    <mergeCell ref="M144:P144"/>
    <mergeCell ref="G144:L144"/>
    <mergeCell ref="Y143:AB143"/>
    <mergeCell ref="Y144:AB144"/>
    <mergeCell ref="H108:O108"/>
    <mergeCell ref="B112:G112"/>
    <mergeCell ref="B106:G106"/>
    <mergeCell ref="Q108:W108"/>
    <mergeCell ref="B118:AB119"/>
    <mergeCell ref="B148:AB149"/>
    <mergeCell ref="B136:AB137"/>
    <mergeCell ref="M143:P143"/>
    <mergeCell ref="M142:P142"/>
    <mergeCell ref="G143:L143"/>
    <mergeCell ref="Q110:W110"/>
    <mergeCell ref="Y111:AB111"/>
    <mergeCell ref="F50:H50"/>
    <mergeCell ref="B47:I47"/>
    <mergeCell ref="M64:O64"/>
    <mergeCell ref="E68:L68"/>
    <mergeCell ref="E64:L64"/>
    <mergeCell ref="P65:R65"/>
    <mergeCell ref="M71:O71"/>
    <mergeCell ref="E71:L71"/>
    <mergeCell ref="P64:R64"/>
    <mergeCell ref="M65:O65"/>
    <mergeCell ref="P66:R66"/>
    <mergeCell ref="P69:R69"/>
    <mergeCell ref="P70:R70"/>
    <mergeCell ref="M67:O67"/>
    <mergeCell ref="P68:R68"/>
    <mergeCell ref="E70:L70"/>
    <mergeCell ref="M70:O70"/>
    <mergeCell ref="E69:L69"/>
    <mergeCell ref="P67:R67"/>
    <mergeCell ref="P71:R71"/>
    <mergeCell ref="M69:O69"/>
    <mergeCell ref="F57:H57"/>
    <mergeCell ref="B56:I56"/>
    <mergeCell ref="A1:AA1"/>
    <mergeCell ref="A2:AA2"/>
    <mergeCell ref="C4:Y4"/>
    <mergeCell ref="L13:O13"/>
    <mergeCell ref="B13:K13"/>
    <mergeCell ref="A8:AC8"/>
    <mergeCell ref="P13:X13"/>
    <mergeCell ref="B11:X11"/>
    <mergeCell ref="AA11:AB11"/>
    <mergeCell ref="A7:AB7"/>
    <mergeCell ref="B12:K12"/>
    <mergeCell ref="M12:O12"/>
    <mergeCell ref="B10:X10"/>
    <mergeCell ref="AA12:AB13"/>
    <mergeCell ref="V37:AB37"/>
    <mergeCell ref="AA17:AB17"/>
    <mergeCell ref="B14:F14"/>
    <mergeCell ref="G14:K14"/>
    <mergeCell ref="D18:G18"/>
    <mergeCell ref="AA18:AB18"/>
    <mergeCell ref="B15:F15"/>
    <mergeCell ref="B17:C17"/>
    <mergeCell ref="L15:X15"/>
    <mergeCell ref="B23:K23"/>
    <mergeCell ref="G15:K15"/>
    <mergeCell ref="L14:X14"/>
    <mergeCell ref="Q18:X18"/>
    <mergeCell ref="Q20:X20"/>
    <mergeCell ref="F20:P20"/>
    <mergeCell ref="B22:F22"/>
    <mergeCell ref="B18:C18"/>
    <mergeCell ref="H18:P18"/>
    <mergeCell ref="B27:AB27"/>
    <mergeCell ref="AA20:AB20"/>
    <mergeCell ref="AA21:AB21"/>
    <mergeCell ref="W33:AB33"/>
    <mergeCell ref="L23:X23"/>
    <mergeCell ref="L22:X22"/>
    <mergeCell ref="B31:AB31"/>
    <mergeCell ref="B32:AB32"/>
    <mergeCell ref="V25:AB26"/>
    <mergeCell ref="I29:Z29"/>
    <mergeCell ref="B20:E20"/>
    <mergeCell ref="B21:E21"/>
    <mergeCell ref="F21:P21"/>
    <mergeCell ref="Q21:X21"/>
    <mergeCell ref="B25:U26"/>
    <mergeCell ref="B28:AB28"/>
    <mergeCell ref="B33:I33"/>
    <mergeCell ref="B34:D34"/>
    <mergeCell ref="F35:I35"/>
    <mergeCell ref="B35:E35"/>
    <mergeCell ref="J48:AA48"/>
    <mergeCell ref="B48:E48"/>
    <mergeCell ref="B55:E55"/>
    <mergeCell ref="F55:H55"/>
    <mergeCell ref="B52:E52"/>
    <mergeCell ref="F52:H52"/>
    <mergeCell ref="W35:AB35"/>
    <mergeCell ref="F34:I34"/>
    <mergeCell ref="F53:H53"/>
    <mergeCell ref="F54:H54"/>
    <mergeCell ref="B54:E54"/>
    <mergeCell ref="J53:AB57"/>
    <mergeCell ref="P45:AA45"/>
    <mergeCell ref="F48:H48"/>
    <mergeCell ref="J51:AB52"/>
    <mergeCell ref="B45:N45"/>
    <mergeCell ref="B41:O41"/>
    <mergeCell ref="F51:H51"/>
    <mergeCell ref="F49:H49"/>
    <mergeCell ref="B53:E53"/>
    <mergeCell ref="S64:U64"/>
    <mergeCell ref="S65:U65"/>
    <mergeCell ref="S62:U62"/>
    <mergeCell ref="B63:D74"/>
    <mergeCell ref="S71:U71"/>
    <mergeCell ref="P72:R72"/>
    <mergeCell ref="L84:N84"/>
    <mergeCell ref="W84:X85"/>
    <mergeCell ref="E61:L62"/>
    <mergeCell ref="B78:D80"/>
    <mergeCell ref="P61:R61"/>
    <mergeCell ref="M62:O62"/>
    <mergeCell ref="E73:L73"/>
    <mergeCell ref="M63:O63"/>
    <mergeCell ref="S61:U61"/>
    <mergeCell ref="E63:L63"/>
    <mergeCell ref="E65:L65"/>
    <mergeCell ref="S66:U66"/>
    <mergeCell ref="S70:U70"/>
    <mergeCell ref="S72:U72"/>
    <mergeCell ref="S73:U73"/>
    <mergeCell ref="W63:Y63"/>
    <mergeCell ref="W64:Y64"/>
    <mergeCell ref="W65:Y65"/>
    <mergeCell ref="E72:L72"/>
    <mergeCell ref="E66:L66"/>
    <mergeCell ref="P62:R62"/>
    <mergeCell ref="P63:R63"/>
    <mergeCell ref="M75:O75"/>
    <mergeCell ref="M66:O66"/>
    <mergeCell ref="M72:O72"/>
    <mergeCell ref="M68:O68"/>
    <mergeCell ref="M73:O73"/>
    <mergeCell ref="Q142:X142"/>
    <mergeCell ref="Q143:X143"/>
    <mergeCell ref="Q144:X144"/>
    <mergeCell ref="M140:P141"/>
    <mergeCell ref="Q140:X141"/>
    <mergeCell ref="M76:O76"/>
    <mergeCell ref="P76:R76"/>
    <mergeCell ref="M79:O79"/>
    <mergeCell ref="E74:L74"/>
    <mergeCell ref="E78:L78"/>
    <mergeCell ref="E76:L76"/>
    <mergeCell ref="E79:L79"/>
    <mergeCell ref="B127:AB128"/>
    <mergeCell ref="Y142:AB142"/>
    <mergeCell ref="B143:F143"/>
    <mergeCell ref="B126:AB126"/>
    <mergeCell ref="G142:L142"/>
    <mergeCell ref="G140:L141"/>
    <mergeCell ref="B121:AA121"/>
    <mergeCell ref="Y112:AB112"/>
    <mergeCell ref="B142:F142"/>
    <mergeCell ref="H112:O112"/>
    <mergeCell ref="Q112:W112"/>
    <mergeCell ref="Y140:AB141"/>
  </mergeCells>
  <phoneticPr fontId="0" type="noConversion"/>
  <conditionalFormatting sqref="A26:A28 C40:AA40 P41:AA41 B42:H42 J42:AA42 C44:H44 J44:AA44 B44:B45 O45 B48 I48 F48:F55 E49:E51 B50:D51 B52:B55 I52:I55 B58:H59 J58:S59 Z58:AA59 I97 A115:AA117 A118:B118 B120:AA120 AN120:AN126 A120:A141 B121:B123 B126 AN128:AN134 B129:AA130 AM129:AM131 B135:AA135 B136 B139:AA139 F140 Q142:T144 Y142:AA144 B142:B148 Q145:AA147 F146:P147 A146:A158 C150:AA155 B150:B157 AM153:AN154 AN156:AN158">
    <cfRule type="cellIs" dxfId="40" priority="137" stopIfTrue="1" operator="equal">
      <formula>"F"</formula>
    </cfRule>
  </conditionalFormatting>
  <conditionalFormatting sqref="B57 F57">
    <cfRule type="cellIs" dxfId="39" priority="127" stopIfTrue="1" operator="equal">
      <formula>"F"</formula>
    </cfRule>
  </conditionalFormatting>
  <conditionalFormatting sqref="B27:AB27">
    <cfRule type="containsText" dxfId="38" priority="6" operator="containsText" text="Bitte ">
      <formula>NOT(ISERROR(SEARCH("Bitte ",B27)))</formula>
    </cfRule>
  </conditionalFormatting>
  <conditionalFormatting sqref="H100:O100">
    <cfRule type="expression" dxfId="37" priority="5" stopIfTrue="1">
      <formula>$B$100&lt;&gt;" "</formula>
    </cfRule>
  </conditionalFormatting>
  <conditionalFormatting sqref="H99:AB99">
    <cfRule type="expression" dxfId="36" priority="41" stopIfTrue="1">
      <formula>$B$99&lt;&gt;" "</formula>
    </cfRule>
  </conditionalFormatting>
  <conditionalFormatting sqref="H101:AB101">
    <cfRule type="expression" dxfId="35" priority="27" stopIfTrue="1">
      <formula>$B$101&lt;&gt;" "</formula>
    </cfRule>
  </conditionalFormatting>
  <conditionalFormatting sqref="H102:AB102">
    <cfRule type="expression" dxfId="34" priority="28" stopIfTrue="1">
      <formula>$B$102&lt;&gt;" "</formula>
    </cfRule>
  </conditionalFormatting>
  <conditionalFormatting sqref="H103:AB103">
    <cfRule type="expression" dxfId="33" priority="11" stopIfTrue="1">
      <formula>$B$103&lt;&gt;" "</formula>
    </cfRule>
  </conditionalFormatting>
  <conditionalFormatting sqref="H104:AB104">
    <cfRule type="expression" dxfId="32" priority="14" stopIfTrue="1">
      <formula>$B$104&lt;&gt;" "</formula>
    </cfRule>
  </conditionalFormatting>
  <conditionalFormatting sqref="H105:AB105">
    <cfRule type="expression" dxfId="31" priority="13" stopIfTrue="1">
      <formula>$B$105&lt;&gt;" "</formula>
    </cfRule>
  </conditionalFormatting>
  <conditionalFormatting sqref="H106:AB106">
    <cfRule type="expression" dxfId="30" priority="26" stopIfTrue="1">
      <formula>$B$106&lt;&gt;" "</formula>
    </cfRule>
  </conditionalFormatting>
  <conditionalFormatting sqref="H107:AB107">
    <cfRule type="expression" dxfId="29" priority="25" stopIfTrue="1">
      <formula>$B$107&lt;&gt;" "</formula>
    </cfRule>
  </conditionalFormatting>
  <conditionalFormatting sqref="H108:AB108">
    <cfRule type="expression" dxfId="28" priority="30" stopIfTrue="1">
      <formula>$B$108&lt;&gt;" "</formula>
    </cfRule>
  </conditionalFormatting>
  <conditionalFormatting sqref="H109:AB109">
    <cfRule type="expression" dxfId="27" priority="9" stopIfTrue="1">
      <formula>$B$109&lt;&gt;" "</formula>
    </cfRule>
  </conditionalFormatting>
  <conditionalFormatting sqref="H110:AB110">
    <cfRule type="expression" dxfId="26" priority="23" stopIfTrue="1">
      <formula>$B$110&lt;&gt;" "</formula>
    </cfRule>
  </conditionalFormatting>
  <conditionalFormatting sqref="H111:AB111">
    <cfRule type="expression" dxfId="25" priority="15" stopIfTrue="1">
      <formula>$B$111&lt;&gt;" "</formula>
    </cfRule>
  </conditionalFormatting>
  <conditionalFormatting sqref="H112:AB112">
    <cfRule type="expression" dxfId="24" priority="16" stopIfTrue="1">
      <formula>$B$112&lt;&gt;" "</formula>
    </cfRule>
  </conditionalFormatting>
  <conditionalFormatting sqref="Q100:W100">
    <cfRule type="expression" dxfId="23" priority="4" stopIfTrue="1">
      <formula>$B$100&lt;&gt;" "</formula>
    </cfRule>
  </conditionalFormatting>
  <conditionalFormatting sqref="U38">
    <cfRule type="containsText" dxfId="22" priority="7" operator="containsText" text="Übergangsregion!">
      <formula>NOT(ISERROR(SEARCH("Übergangsregion!",U38)))</formula>
    </cfRule>
  </conditionalFormatting>
  <conditionalFormatting sqref="Y100:AB100">
    <cfRule type="expression" dxfId="21" priority="3" stopIfTrue="1">
      <formula>$B$100&lt;&gt;" "</formula>
    </cfRule>
  </conditionalFormatting>
  <conditionalFormatting sqref="AA12:AB13">
    <cfRule type="cellIs" dxfId="20" priority="59" stopIfTrue="1" operator="between">
      <formula>1</formula>
      <formula>500</formula>
    </cfRule>
  </conditionalFormatting>
  <conditionalFormatting sqref="AA18:AB18">
    <cfRule type="cellIs" dxfId="19" priority="58" stopIfTrue="1" operator="lessThanOrEqual">
      <formula>40784</formula>
    </cfRule>
  </conditionalFormatting>
  <conditionalFormatting sqref="AA21:AB21">
    <cfRule type="cellIs" dxfId="18" priority="10" stopIfTrue="1" operator="lessThanOrEqual">
      <formula>40784</formula>
    </cfRule>
  </conditionalFormatting>
  <dataValidations xWindow="884" yWindow="548" count="15">
    <dataValidation type="textLength" operator="lessThanOrEqual" allowBlank="1" showInputMessage="1" showErrorMessage="1" error="Maximale Zeichenanzahl überschritten!" promptTitle="Zeichenbegrenzung" prompt="Maximal 2400 Zeichen" sqref="B131:AB133" xr:uid="{00000000-0002-0000-0000-000000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." sqref="B138:AA138" xr:uid="{00000000-0002-0000-0000-000001000000}">
      <formula1>1850</formula1>
    </dataValidation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2" xr:uid="{00000000-0002-0000-0000-000002000000}">
      <formula1>12</formula1>
    </dataValidation>
    <dataValidation allowBlank="1" showErrorMessage="1" prompt="_x000a_" sqref="F57:H57" xr:uid="{00000000-0002-0000-0000-000003000000}"/>
    <dataValidation type="textLength" operator="lessThanOrEqual" allowBlank="1" showInputMessage="1" showErrorMessage="1" error="Maximale Zeichenanzahl überschritten!" promptTitle="Zeichenbegrenzung" prompt="Maximal 3000 Zeichen" sqref="B127:AB128" xr:uid="{00000000-0002-0000-0000-000004000000}">
      <formula1>3100</formula1>
    </dataValidation>
    <dataValidation allowBlank="1" showInputMessage="1" showErrorMessage="1" prompt="Bitte kreuzen Sie an: _x000a_wd für wiederholte Durchführung_x000a_ed für erstmalige Durchführung" sqref="J34" xr:uid="{00000000-0002-0000-0000-000005000000}"/>
    <dataValidation type="whole" operator="greaterThanOrEqual" allowBlank="1" showErrorMessage="1" error="Es können nur ganze Zahlen größer oder gleich 0 eingetragen werden." sqref="F48:H55" xr:uid="{00000000-0002-0000-0000-000006000000}">
      <formula1>0</formula1>
    </dataValidation>
    <dataValidation type="whole" allowBlank="1" showInputMessage="1" showErrorMessage="1" sqref="V25:AB26" xr:uid="{00000000-0002-0000-0000-000007000000}">
      <formula1>0</formula1>
      <formula2>9999999999</formula2>
    </dataValidation>
    <dataValidation type="whole" operator="greaterThanOrEqual" allowBlank="1" showInputMessage="1" showErrorMessage="1" error="Es können nur Zahlen größer oder gleich 0 eingetragen werden!" sqref="Z64:Z68 P63:V81 W63:W65 W69:X69" xr:uid="{00000000-0002-0000-0000-000008000000}">
      <formula1>0</formula1>
    </dataValidation>
    <dataValidation type="date" allowBlank="1" showInputMessage="1" showErrorMessage="1" error="Das eingetragene Datum liegt außerhalb des im Aufruf benannten Zeitraums!" prompt="Projektbeginn zwischen 01.01.2024 und 30.06.2024" sqref="B35:E35" xr:uid="{00000000-0002-0000-0000-000009000000}">
      <formula1>45292</formula1>
      <formula2>45473</formula2>
    </dataValidation>
    <dataValidation type="textLength" operator="lessThanOrEqual" allowBlank="1" showInputMessage="1" showErrorMessage="1" error="Maximale Zeichenanzahl überschritten." promptTitle="Zeichenbegenzung" prompt="Maximal 2400 Zeichen" sqref="B118:AB119" xr:uid="{00000000-0002-0000-0000-00000B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" sqref="B136:AB137" xr:uid="{00000000-0002-0000-0000-00000C000000}">
      <formula1>1900</formula1>
    </dataValidation>
    <dataValidation type="textLength" operator="lessThanOrEqual" allowBlank="1" showInputMessage="1" showErrorMessage="1" error="Maximale Zeichenanzahl überschritten!" promptTitle="Zeichenbegrenzung" prompt="Maximale Zeichenanzahl 1800" sqref="B148:AB149" xr:uid="{00000000-0002-0000-0000-00000D000000}">
      <formula1>1900</formula1>
    </dataValidation>
    <dataValidation type="textLength" operator="lessThanOrEqual" allowBlank="1" showInputMessage="1" showErrorMessage="1" error="Maximale Zeichenanzahl überschritten." promptTitle="Zeichenbegrenzung" prompt="Maximal 3000 Zeichen" sqref="B123:AB125" xr:uid="{00000000-0002-0000-0000-00000E000000}">
      <formula1>3100</formula1>
    </dataValidation>
    <dataValidation operator="greaterThanOrEqual" allowBlank="1" showInputMessage="1" showErrorMessage="1" error="Es können nur Zahlen größer oder gleich 0 eingetragen werden!" sqref="W70:AB81 W63:W65 W61" xr:uid="{5299698C-C114-4EE2-8020-D96DB8607DA1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999" orientation="portrait" r:id="rId3"/>
  <headerFooter alignWithMargins="0">
    <oddFooter>&amp;L&amp;F&amp;R&amp;P</oddFooter>
  </headerFooter>
  <rowBreaks count="4" manualBreakCount="4">
    <brk id="58" max="28" man="1"/>
    <brk id="113" max="28" man="1"/>
    <brk id="128" max="28" man="1"/>
    <brk id="138" max="28" man="1"/>
  </rowBreaks>
  <ignoredErrors>
    <ignoredError sqref="B99:G99 B100:B104 B106:B112 B105" unlockedFormula="1"/>
    <ignoredError sqref="A151 A155 A139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35</xdr:row>
                    <xdr:rowOff>190500</xdr:rowOff>
                  </from>
                  <to>
                    <xdr:col>17</xdr:col>
                    <xdr:colOff>160020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" name="Aktion">
              <controlPr locked="0" defaultSize="0" autoLine="0" autoPict="0">
                <anchor moveWithCells="1">
                  <from>
                    <xdr:col>1</xdr:col>
                    <xdr:colOff>30480</xdr:colOff>
                    <xdr:row>41</xdr:row>
                    <xdr:rowOff>0</xdr:rowOff>
                  </from>
                  <to>
                    <xdr:col>27</xdr:col>
                    <xdr:colOff>365760</xdr:colOff>
                    <xdr:row>41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" name="Fansatz">
              <controlPr defaultSize="0" autoLine="0" autoPict="0">
                <anchor moveWithCells="1">
                  <from>
                    <xdr:col>1</xdr:col>
                    <xdr:colOff>38100</xdr:colOff>
                    <xdr:row>43</xdr:row>
                    <xdr:rowOff>0</xdr:rowOff>
                  </from>
                  <to>
                    <xdr:col>24</xdr:col>
                    <xdr:colOff>304800</xdr:colOff>
                    <xdr:row>43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" name="ZG">
              <controlPr locked="0" defaultSize="0" autoLine="0" autoPict="0">
                <anchor moveWithCells="1">
                  <from>
                    <xdr:col>1</xdr:col>
                    <xdr:colOff>45720</xdr:colOff>
                    <xdr:row>45</xdr:row>
                    <xdr:rowOff>60960</xdr:rowOff>
                  </from>
                  <to>
                    <xdr:col>22</xdr:col>
                    <xdr:colOff>190500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0" name="wdedauswahl">
              <controlPr locked="0"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18</xdr:col>
                    <xdr:colOff>205740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1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47</xdr:row>
                    <xdr:rowOff>7620</xdr:rowOff>
                  </from>
                  <to>
                    <xdr:col>25</xdr:col>
                    <xdr:colOff>144780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2" name="Option Button 367">
              <controlPr defaultSize="0" autoFill="0" autoLine="0" autoPict="0">
                <anchor moveWithCells="1">
                  <from>
                    <xdr:col>10</xdr:col>
                    <xdr:colOff>220980</xdr:colOff>
                    <xdr:row>48</xdr:row>
                    <xdr:rowOff>7620</xdr:rowOff>
                  </from>
                  <to>
                    <xdr:col>12</xdr:col>
                    <xdr:colOff>76200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48</xdr:row>
                    <xdr:rowOff>38100</xdr:rowOff>
                  </from>
                  <to>
                    <xdr:col>15</xdr:col>
                    <xdr:colOff>426720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4" name="Gleichstellung">
              <controlPr locked="0" defaultSize="0" print="0" autoFill="0" autoPict="0">
                <anchor moveWithCells="1">
                  <from>
                    <xdr:col>6</xdr:col>
                    <xdr:colOff>7620</xdr:colOff>
                    <xdr:row>141</xdr:row>
                    <xdr:rowOff>0</xdr:rowOff>
                  </from>
                  <to>
                    <xdr:col>12</xdr:col>
                    <xdr:colOff>0</xdr:colOff>
                    <xdr:row>144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5" name="Option Button 370">
              <controlPr locked="0" defaultSize="0" autoFill="0" autoLine="0" autoPict="0">
                <anchor moveWithCells="1">
                  <from>
                    <xdr:col>8</xdr:col>
                    <xdr:colOff>99060</xdr:colOff>
                    <xdr:row>141</xdr:row>
                    <xdr:rowOff>60960</xdr:rowOff>
                  </from>
                  <to>
                    <xdr:col>9</xdr:col>
                    <xdr:colOff>152400</xdr:colOff>
                    <xdr:row>141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6" name="Option Button 371">
              <controlPr defaultSize="0" autoFill="0" autoLine="0" autoPict="0">
                <anchor moveWithCells="1">
                  <from>
                    <xdr:col>8</xdr:col>
                    <xdr:colOff>99060</xdr:colOff>
                    <xdr:row>142</xdr:row>
                    <xdr:rowOff>45720</xdr:rowOff>
                  </from>
                  <to>
                    <xdr:col>9</xdr:col>
                    <xdr:colOff>152400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7" name="Option Button 372">
              <controlPr defaultSize="0" autoFill="0" autoLine="0" autoPict="0">
                <anchor moveWithCells="1">
                  <from>
                    <xdr:col>8</xdr:col>
                    <xdr:colOff>99060</xdr:colOff>
                    <xdr:row>143</xdr:row>
                    <xdr:rowOff>76200</xdr:rowOff>
                  </from>
                  <to>
                    <xdr:col>9</xdr:col>
                    <xdr:colOff>152400</xdr:colOff>
                    <xdr:row>143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8" name="Nichtdiskriminierung">
              <controlPr locked="0" defaultSize="0" print="0" autoFill="0" autoPict="0">
                <anchor moveWithCells="1">
                  <from>
                    <xdr:col>12</xdr:col>
                    <xdr:colOff>7620</xdr:colOff>
                    <xdr:row>141</xdr:row>
                    <xdr:rowOff>0</xdr:rowOff>
                  </from>
                  <to>
                    <xdr:col>16</xdr:col>
                    <xdr:colOff>7620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9" name="Option Button 374">
              <controlPr defaultSize="0" autoFill="0" autoLine="0" autoPict="0">
                <anchor moveWithCells="1">
                  <from>
                    <xdr:col>15</xdr:col>
                    <xdr:colOff>7620</xdr:colOff>
                    <xdr:row>141</xdr:row>
                    <xdr:rowOff>53340</xdr:rowOff>
                  </from>
                  <to>
                    <xdr:col>15</xdr:col>
                    <xdr:colOff>320040</xdr:colOff>
                    <xdr:row>141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20" name="Option Button 37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45720</xdr:rowOff>
                  </from>
                  <to>
                    <xdr:col>15</xdr:col>
                    <xdr:colOff>312420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21" name="Option Button 376">
              <controlPr defaultSize="0" autoFill="0" autoLine="0" autoPict="0">
                <anchor moveWithCells="1">
                  <from>
                    <xdr:col>14</xdr:col>
                    <xdr:colOff>243840</xdr:colOff>
                    <xdr:row>143</xdr:row>
                    <xdr:rowOff>106680</xdr:rowOff>
                  </from>
                  <to>
                    <xdr:col>15</xdr:col>
                    <xdr:colOff>312420</xdr:colOff>
                    <xdr:row>143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22" name="Transnationalauswahl">
              <controlPr locked="0" defaultSize="0" print="0" autoFill="0" autoPict="0">
                <anchor moveWithCells="1">
                  <from>
                    <xdr:col>16</xdr:col>
                    <xdr:colOff>22860</xdr:colOff>
                    <xdr:row>141</xdr:row>
                    <xdr:rowOff>0</xdr:rowOff>
                  </from>
                  <to>
                    <xdr:col>24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23" name="Nachhaltige Entwicklung">
              <controlPr locked="0" defaultSize="0" print="0" autoFill="0" autoPict="0">
                <anchor moveWithCells="1">
                  <from>
                    <xdr:col>24</xdr:col>
                    <xdr:colOff>7620</xdr:colOff>
                    <xdr:row>141</xdr:row>
                    <xdr:rowOff>0</xdr:rowOff>
                  </from>
                  <to>
                    <xdr:col>27</xdr:col>
                    <xdr:colOff>388620</xdr:colOff>
                    <xdr:row>144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24" name="Option Button 381">
              <controlPr defaultSize="0" autoFill="0" autoLine="0" autoPict="0">
                <anchor moveWithCells="1">
                  <from>
                    <xdr:col>25</xdr:col>
                    <xdr:colOff>220980</xdr:colOff>
                    <xdr:row>141</xdr:row>
                    <xdr:rowOff>83820</xdr:rowOff>
                  </from>
                  <to>
                    <xdr:col>26</xdr:col>
                    <xdr:colOff>274320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25" name="Option Button 382">
              <controlPr defaultSize="0" autoFill="0" autoLine="0" autoPict="0">
                <anchor moveWithCells="1">
                  <from>
                    <xdr:col>25</xdr:col>
                    <xdr:colOff>220980</xdr:colOff>
                    <xdr:row>142</xdr:row>
                    <xdr:rowOff>30480</xdr:rowOff>
                  </from>
                  <to>
                    <xdr:col>26</xdr:col>
                    <xdr:colOff>274320</xdr:colOff>
                    <xdr:row>142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26" name="Option Button 383">
              <controlPr defaultSize="0" autoFill="0" autoLine="0" autoPict="0">
                <anchor moveWithCells="1">
                  <from>
                    <xdr:col>25</xdr:col>
                    <xdr:colOff>220980</xdr:colOff>
                    <xdr:row>143</xdr:row>
                    <xdr:rowOff>45720</xdr:rowOff>
                  </from>
                  <to>
                    <xdr:col>26</xdr:col>
                    <xdr:colOff>281940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27" name="Option Button 387">
              <controlPr defaultSize="0" autoFill="0" autoLine="0" autoPict="0">
                <anchor moveWithCells="1">
                  <from>
                    <xdr:col>19</xdr:col>
                    <xdr:colOff>68580</xdr:colOff>
                    <xdr:row>141</xdr:row>
                    <xdr:rowOff>76200</xdr:rowOff>
                  </from>
                  <to>
                    <xdr:col>20</xdr:col>
                    <xdr:colOff>129540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8" name="Option Button 388">
              <controlPr defaultSize="0" autoFill="0" autoLine="0" autoPict="0">
                <anchor moveWithCells="1">
                  <from>
                    <xdr:col>19</xdr:col>
                    <xdr:colOff>76200</xdr:colOff>
                    <xdr:row>142</xdr:row>
                    <xdr:rowOff>38100</xdr:rowOff>
                  </from>
                  <to>
                    <xdr:col>20</xdr:col>
                    <xdr:colOff>137160</xdr:colOff>
                    <xdr:row>142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29" name="Option Button 389">
              <controlPr defaultSize="0" autoFill="0" autoLine="0" autoPict="0">
                <anchor moveWithCells="1">
                  <from>
                    <xdr:col>19</xdr:col>
                    <xdr:colOff>68580</xdr:colOff>
                    <xdr:row>143</xdr:row>
                    <xdr:rowOff>53340</xdr:rowOff>
                  </from>
                  <to>
                    <xdr:col>20</xdr:col>
                    <xdr:colOff>121920</xdr:colOff>
                    <xdr:row>143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0" name="Group Box 391">
              <controlPr locked="0" defaultSize="0" autoFill="0" autoPict="0">
                <anchor moveWithCells="1">
                  <from>
                    <xdr:col>1</xdr:col>
                    <xdr:colOff>22860</xdr:colOff>
                    <xdr:row>151</xdr:row>
                    <xdr:rowOff>22860</xdr:rowOff>
                  </from>
                  <to>
                    <xdr:col>8</xdr:col>
                    <xdr:colOff>0</xdr:colOff>
                    <xdr:row>153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1" name="Option Button 392">
              <controlPr defaultSize="0" autoFill="0" autoLine="0" autoPict="0">
                <anchor moveWithCells="1">
                  <from>
                    <xdr:col>1</xdr:col>
                    <xdr:colOff>259080</xdr:colOff>
                    <xdr:row>151</xdr:row>
                    <xdr:rowOff>45720</xdr:rowOff>
                  </from>
                  <to>
                    <xdr:col>3</xdr:col>
                    <xdr:colOff>175260</xdr:colOff>
                    <xdr:row>152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2" name="Option Button 393">
              <controlPr defaultSize="0" autoFill="0" autoLine="0" autoPict="0">
                <anchor moveWithCells="1">
                  <from>
                    <xdr:col>3</xdr:col>
                    <xdr:colOff>175260</xdr:colOff>
                    <xdr:row>151</xdr:row>
                    <xdr:rowOff>38100</xdr:rowOff>
                  </from>
                  <to>
                    <xdr:col>7</xdr:col>
                    <xdr:colOff>60960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3" name="Group Box 395">
              <controlPr locked="0" defaultSize="0" autoFill="0" autoPict="0">
                <anchor moveWithCells="1">
                  <from>
                    <xdr:col>0</xdr:col>
                    <xdr:colOff>251460</xdr:colOff>
                    <xdr:row>154</xdr:row>
                    <xdr:rowOff>152400</xdr:rowOff>
                  </from>
                  <to>
                    <xdr:col>8</xdr:col>
                    <xdr:colOff>22860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4" name="Option Button 396">
              <controlPr defaultSize="0" autoFill="0" autoLine="0" autoPict="0">
                <anchor moveWithCells="1">
                  <from>
                    <xdr:col>1</xdr:col>
                    <xdr:colOff>251460</xdr:colOff>
                    <xdr:row>155</xdr:row>
                    <xdr:rowOff>22860</xdr:rowOff>
                  </from>
                  <to>
                    <xdr:col>3</xdr:col>
                    <xdr:colOff>99060</xdr:colOff>
                    <xdr:row>156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5" name="Option Button 397">
              <controlPr defaultSize="0" autoFill="0" autoLine="0" autoPict="0">
                <anchor moveWithCells="1">
                  <from>
                    <xdr:col>3</xdr:col>
                    <xdr:colOff>182880</xdr:colOff>
                    <xdr:row>155</xdr:row>
                    <xdr:rowOff>22860</xdr:rowOff>
                  </from>
                  <to>
                    <xdr:col>5</xdr:col>
                    <xdr:colOff>45720</xdr:colOff>
                    <xdr:row>156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6" name="Group Box 405">
              <controlPr locked="0" defaultSize="0" print="0" autoFill="0" autoPict="0">
                <anchor moveWithCells="1">
                  <from>
                    <xdr:col>1</xdr:col>
                    <xdr:colOff>22860</xdr:colOff>
                    <xdr:row>24</xdr:row>
                    <xdr:rowOff>0</xdr:rowOff>
                  </from>
                  <to>
                    <xdr:col>17</xdr:col>
                    <xdr:colOff>205740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7" name="Option Button 410">
              <controlPr defaultSize="0" autoFill="0" autoLine="0" autoPict="0">
                <anchor moveWithCells="1">
                  <from>
                    <xdr:col>11</xdr:col>
                    <xdr:colOff>137160</xdr:colOff>
                    <xdr:row>25</xdr:row>
                    <xdr:rowOff>60960</xdr:rowOff>
                  </from>
                  <to>
                    <xdr:col>13</xdr:col>
                    <xdr:colOff>99060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8" name="Option Button 411">
              <controlPr defaultSize="0" autoFill="0" autoLine="0" autoPict="0">
                <anchor moveWithCells="1">
                  <from>
                    <xdr:col>13</xdr:col>
                    <xdr:colOff>137160</xdr:colOff>
                    <xdr:row>25</xdr:row>
                    <xdr:rowOff>76200</xdr:rowOff>
                  </from>
                  <to>
                    <xdr:col>15</xdr:col>
                    <xdr:colOff>175260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4" r:id="rId39" name="Option Button 1996">
              <controlPr defaultSize="0" autoFill="0" autoLine="0" autoPict="0" altText="ed:erstmalige Durchführung">
                <anchor moveWithCells="1">
                  <from>
                    <xdr:col>9</xdr:col>
                    <xdr:colOff>22860</xdr:colOff>
                    <xdr:row>33</xdr:row>
                    <xdr:rowOff>106680</xdr:rowOff>
                  </from>
                  <to>
                    <xdr:col>18</xdr:col>
                    <xdr:colOff>60960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5" r:id="rId40" name="Group Box 2007">
              <controlPr defaultSize="0" autoFill="0" autoPict="0">
                <anchor moveWithCells="1">
                  <from>
                    <xdr:col>1</xdr:col>
                    <xdr:colOff>7620</xdr:colOff>
                    <xdr:row>23</xdr:row>
                    <xdr:rowOff>160020</xdr:rowOff>
                  </from>
                  <to>
                    <xdr:col>17</xdr:col>
                    <xdr:colOff>182880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8" r:id="rId41" name="Option Button 2010">
              <controlPr defaultSize="0" autoFill="0" autoLine="0" autoPict="0" altText="ed:erstmalige Durchführung">
                <anchor moveWithCells="1">
                  <from>
                    <xdr:col>15</xdr:col>
                    <xdr:colOff>45720</xdr:colOff>
                    <xdr:row>33</xdr:row>
                    <xdr:rowOff>83820</xdr:rowOff>
                  </from>
                  <to>
                    <xdr:col>17</xdr:col>
                    <xdr:colOff>205740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9" r:id="rId42" name="Group Box 2011">
              <controlPr locked="0" defaultSize="0" print="0" autoFill="0" autoPict="0">
                <anchor moveWithCells="1">
                  <from>
                    <xdr:col>9</xdr:col>
                    <xdr:colOff>22860</xdr:colOff>
                    <xdr:row>33</xdr:row>
                    <xdr:rowOff>7620</xdr:rowOff>
                  </from>
                  <to>
                    <xdr:col>18</xdr:col>
                    <xdr:colOff>205740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0" r:id="rId43" name="Check Box 2022">
              <controlPr defaultSize="0" autoFill="0" autoLine="0" autoPict="0">
                <anchor moveWithCells="1">
                  <from>
                    <xdr:col>19</xdr:col>
                    <xdr:colOff>160020</xdr:colOff>
                    <xdr:row>27</xdr:row>
                    <xdr:rowOff>449580</xdr:rowOff>
                  </from>
                  <to>
                    <xdr:col>21</xdr:col>
                    <xdr:colOff>22860</xdr:colOff>
                    <xdr:row>27</xdr:row>
                    <xdr:rowOff>655320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70"/>
  <sheetViews>
    <sheetView workbookViewId="0">
      <selection activeCell="E45" sqref="E45"/>
    </sheetView>
  </sheetViews>
  <sheetFormatPr baseColWidth="10" defaultRowHeight="13.2" x14ac:dyDescent="0.25"/>
  <cols>
    <col min="1" max="1" width="41.109375" style="2" customWidth="1"/>
    <col min="2" max="2" width="15.5546875" style="29" customWidth="1"/>
    <col min="3" max="3" width="31.5546875" style="2" customWidth="1"/>
    <col min="4" max="4" width="7" customWidth="1"/>
    <col min="5" max="5" width="31" customWidth="1"/>
    <col min="6" max="6" width="16.109375" customWidth="1"/>
    <col min="7" max="7" width="28.88671875" customWidth="1"/>
    <col min="8" max="8" width="8.44140625" customWidth="1"/>
  </cols>
  <sheetData>
    <row r="1" spans="1:8" ht="28.8" thickBot="1" x14ac:dyDescent="0.55000000000000004">
      <c r="A1" s="656" t="s">
        <v>599</v>
      </c>
      <c r="B1" s="656"/>
      <c r="C1" s="656"/>
      <c r="D1" s="656"/>
      <c r="E1" s="112"/>
      <c r="F1" s="112"/>
      <c r="G1" s="112"/>
      <c r="H1" s="112"/>
    </row>
    <row r="2" spans="1:8" s="4" customFormat="1" ht="21" x14ac:dyDescent="0.4">
      <c r="A2" s="113" t="s">
        <v>222</v>
      </c>
      <c r="B2" s="114"/>
      <c r="C2" s="113" t="s">
        <v>224</v>
      </c>
      <c r="D2" s="111"/>
    </row>
    <row r="3" spans="1:8" x14ac:dyDescent="0.25">
      <c r="A3" s="106" t="s">
        <v>901</v>
      </c>
      <c r="B3" s="107"/>
      <c r="C3" s="106" t="s">
        <v>223</v>
      </c>
      <c r="D3" s="109"/>
    </row>
    <row r="4" spans="1:8" x14ac:dyDescent="0.25">
      <c r="A4" s="143" t="s">
        <v>902</v>
      </c>
      <c r="B4" s="120" t="str">
        <f>IF(LEN(Tname)&gt;0,"ok","fehlt")</f>
        <v>fehlt</v>
      </c>
      <c r="C4" s="108" t="s">
        <v>173</v>
      </c>
      <c r="D4" s="120" t="str">
        <f>IF(LEN(Ptitel)&gt;0,"ok","fehlt")</f>
        <v>fehlt</v>
      </c>
    </row>
    <row r="5" spans="1:8" x14ac:dyDescent="0.25">
      <c r="A5" s="108" t="s">
        <v>93</v>
      </c>
      <c r="B5" s="120" t="str">
        <f>IF(LEN(Tstraße)&gt;0,"ok","fehlt")</f>
        <v>fehlt</v>
      </c>
      <c r="C5" s="108" t="s">
        <v>52</v>
      </c>
      <c r="D5" s="120" t="str">
        <f>IF(Ende&gt;1,"ok","fehlt")</f>
        <v>fehlt</v>
      </c>
    </row>
    <row r="6" spans="1:8" x14ac:dyDescent="0.25">
      <c r="A6" s="108" t="s">
        <v>39</v>
      </c>
      <c r="B6" s="120" t="str">
        <f>IF(LEN(Tplz)&gt;0,"ok","fehlt")</f>
        <v>fehlt</v>
      </c>
      <c r="C6" s="108" t="s">
        <v>53</v>
      </c>
      <c r="D6" s="120" t="str">
        <f>IF(Beginn&gt;1,"ok","fehlt")</f>
        <v>fehlt</v>
      </c>
    </row>
    <row r="7" spans="1:8" x14ac:dyDescent="0.25">
      <c r="A7" s="108" t="s">
        <v>40</v>
      </c>
      <c r="B7" s="120" t="str">
        <f>IF(LEN(Tort)&gt;0,"ok","fehlt")</f>
        <v>fehlt</v>
      </c>
      <c r="C7" s="106" t="s">
        <v>43</v>
      </c>
      <c r="D7" s="120"/>
    </row>
    <row r="8" spans="1:8" x14ac:dyDescent="0.25">
      <c r="A8" s="108" t="s">
        <v>49</v>
      </c>
      <c r="B8" s="120" t="str">
        <f>IF(LEN(Ttel)&gt;0,"ok","fehlt")</f>
        <v>fehlt</v>
      </c>
      <c r="C8" s="108" t="s">
        <v>537</v>
      </c>
      <c r="D8" s="120" t="str">
        <f>IF(edwdAuswahl&gt;0,"ok","fehlt")</f>
        <v>fehlt</v>
      </c>
    </row>
    <row r="9" spans="1:8" ht="17.25" customHeight="1" x14ac:dyDescent="0.25">
      <c r="A9" s="108" t="s">
        <v>50</v>
      </c>
      <c r="B9" s="120" t="str">
        <f>IF(LEN(Temail)&gt;0,"ok","fehlt")</f>
        <v>fehlt</v>
      </c>
      <c r="C9" s="106" t="s">
        <v>112</v>
      </c>
      <c r="D9" s="120"/>
    </row>
    <row r="10" spans="1:8" x14ac:dyDescent="0.25">
      <c r="A10" s="108"/>
      <c r="B10" s="123"/>
      <c r="C10" s="108" t="s">
        <v>283</v>
      </c>
      <c r="D10" s="120" t="str">
        <f>IF(GKAuswahl&gt;1,"ok","fehlt")</f>
        <v>fehlt</v>
      </c>
    </row>
    <row r="11" spans="1:8" ht="26.4" x14ac:dyDescent="0.25">
      <c r="A11" s="106" t="s">
        <v>218</v>
      </c>
      <c r="B11" s="120"/>
      <c r="C11" s="106" t="s">
        <v>907</v>
      </c>
      <c r="D11" s="120"/>
    </row>
    <row r="12" spans="1:8" x14ac:dyDescent="0.25">
      <c r="A12" s="108" t="s">
        <v>48</v>
      </c>
      <c r="B12" s="120" t="str">
        <f>IF(LEN(Ltganrede)&gt;0,"ok","fehlt")</f>
        <v>fehlt</v>
      </c>
      <c r="C12" s="108"/>
      <c r="D12" s="120"/>
    </row>
    <row r="13" spans="1:8" x14ac:dyDescent="0.25">
      <c r="A13" s="108" t="s">
        <v>46</v>
      </c>
      <c r="B13" s="120" t="str">
        <f>IF(LEN(ltgname)&gt;0,"ok","fehlt")</f>
        <v>fehlt</v>
      </c>
      <c r="C13" s="143" t="s">
        <v>908</v>
      </c>
      <c r="D13" s="120" t="str">
        <f ca="1">IF(LEFT(Aktion,5)="Bitte","fehlt","ok")</f>
        <v>ok</v>
      </c>
    </row>
    <row r="14" spans="1:8" x14ac:dyDescent="0.25">
      <c r="A14" s="108" t="s">
        <v>98</v>
      </c>
      <c r="B14" s="120" t="str">
        <f>IF(LEN(ltgvorname)&gt;0,"ok","fehlt")</f>
        <v>fehlt</v>
      </c>
      <c r="C14" s="143" t="s">
        <v>765</v>
      </c>
      <c r="D14" s="120" t="str">
        <f ca="1">IF(LEFT(Fansatz,5)="Bitte","fehlt","ok")</f>
        <v>ok</v>
      </c>
    </row>
    <row r="15" spans="1:8" x14ac:dyDescent="0.25">
      <c r="A15" s="106" t="s">
        <v>357</v>
      </c>
      <c r="B15" s="120"/>
      <c r="C15" s="108"/>
      <c r="D15" s="120"/>
    </row>
    <row r="16" spans="1:8" x14ac:dyDescent="0.25">
      <c r="A16" s="110" t="s">
        <v>48</v>
      </c>
      <c r="B16" s="120" t="str">
        <f>IF(LEN(Anspranrede)&gt;0,"ok","fehlt")</f>
        <v>fehlt</v>
      </c>
      <c r="C16" s="108" t="s">
        <v>47</v>
      </c>
      <c r="D16" s="120" t="str">
        <f>IF(ZGauswahl&gt;1,"ok","fehlt")</f>
        <v>ok</v>
      </c>
    </row>
    <row r="17" spans="1:4" x14ac:dyDescent="0.25">
      <c r="A17" s="110" t="s">
        <v>46</v>
      </c>
      <c r="B17" s="120" t="str">
        <f>IF(LEN(Ansprname)&gt;0,"ok","fehlt")</f>
        <v>fehlt</v>
      </c>
      <c r="C17" s="106" t="s">
        <v>141</v>
      </c>
      <c r="D17" s="120"/>
    </row>
    <row r="18" spans="1:4" x14ac:dyDescent="0.25">
      <c r="A18" s="110" t="s">
        <v>98</v>
      </c>
      <c r="B18" s="120" t="str">
        <f>IF(LEN(ansprvorname)&gt;0,"ok","fehlt")</f>
        <v>fehlt</v>
      </c>
      <c r="C18" s="108" t="s">
        <v>359</v>
      </c>
      <c r="D18" s="120" t="str">
        <f>IF(LEN(TNpl)&gt;0,"ok","fehlt")</f>
        <v>fehlt</v>
      </c>
    </row>
    <row r="19" spans="1:4" x14ac:dyDescent="0.25">
      <c r="A19" s="110" t="s">
        <v>203</v>
      </c>
      <c r="B19" s="120" t="str">
        <f>IF(LEN(ansprtel)&gt;0,"ok","fehlt")</f>
        <v>fehlt</v>
      </c>
      <c r="C19" s="108" t="s">
        <v>358</v>
      </c>
      <c r="D19" s="120" t="str">
        <f>IF(LEN(TNanz)&gt;0,"ok","fehlt")</f>
        <v>fehlt</v>
      </c>
    </row>
    <row r="20" spans="1:4" x14ac:dyDescent="0.25">
      <c r="A20" s="110" t="s">
        <v>50</v>
      </c>
      <c r="B20" s="120" t="str">
        <f>IF(LEN(ansprmail)&gt;0,"ok","fehlt")</f>
        <v>fehlt</v>
      </c>
      <c r="C20" s="108" t="s">
        <v>45</v>
      </c>
      <c r="D20" s="120" t="str">
        <f>IF(LEN(TNwbl)&gt;0,"ok","fehlt")</f>
        <v>fehlt</v>
      </c>
    </row>
    <row r="21" spans="1:4" x14ac:dyDescent="0.25">
      <c r="A21" s="106" t="s">
        <v>219</v>
      </c>
      <c r="B21" s="120"/>
      <c r="C21" s="108" t="s">
        <v>44</v>
      </c>
      <c r="D21" s="120" t="str">
        <f>IF(LEN(TNml)&gt;0,"ok","fehlt")</f>
        <v>fehlt</v>
      </c>
    </row>
    <row r="22" spans="1:4" x14ac:dyDescent="0.25">
      <c r="A22" s="110" t="s">
        <v>283</v>
      </c>
      <c r="B22" s="120" t="str">
        <f>IF(Akauswahl&gt;0,"ok","fehlt")</f>
        <v>fehlt</v>
      </c>
      <c r="C22" s="143" t="s">
        <v>928</v>
      </c>
      <c r="D22" s="120" t="str">
        <f>IF(LEN(TNnichtbinär)&gt;0,"ok","fehlt")</f>
        <v>fehlt</v>
      </c>
    </row>
    <row r="23" spans="1:4" x14ac:dyDescent="0.25">
      <c r="A23" s="154" t="s">
        <v>992</v>
      </c>
      <c r="B23" s="197" t="str" cm="1">
        <f t="array" ref="B23">IF(Chartaauswahl=TRUE,"ok","fehlt")</f>
        <v>fehlt</v>
      </c>
      <c r="C23" s="154"/>
      <c r="D23" s="120"/>
    </row>
    <row r="24" spans="1:4" ht="21" x14ac:dyDescent="0.4">
      <c r="A24" s="173" t="s">
        <v>225</v>
      </c>
      <c r="B24" s="174"/>
      <c r="D24" s="120"/>
    </row>
    <row r="25" spans="1:4" x14ac:dyDescent="0.25">
      <c r="A25" s="172" t="s">
        <v>99</v>
      </c>
      <c r="B25" s="175"/>
      <c r="D25" s="165"/>
    </row>
    <row r="26" spans="1:4" x14ac:dyDescent="0.25">
      <c r="A26" s="116" t="s">
        <v>77</v>
      </c>
      <c r="B26" s="175" t="str">
        <f>IF(kostges&gt;0,"ok","fehlt")</f>
        <v>fehlt</v>
      </c>
      <c r="D26" s="165"/>
    </row>
    <row r="27" spans="1:4" ht="13.8" thickBot="1" x14ac:dyDescent="0.3">
      <c r="A27" s="176" t="s">
        <v>909</v>
      </c>
      <c r="B27" s="175" t="str">
        <f>IF(esfges&gt;0,"ok","fehlt")</f>
        <v>fehlt</v>
      </c>
      <c r="C27" s="126"/>
      <c r="D27" s="120"/>
    </row>
    <row r="28" spans="1:4" ht="21" x14ac:dyDescent="0.4">
      <c r="A28" s="172" t="s">
        <v>539</v>
      </c>
      <c r="B28" s="175"/>
      <c r="C28" s="127" t="s">
        <v>226</v>
      </c>
      <c r="D28" s="115"/>
    </row>
    <row r="29" spans="1:4" x14ac:dyDescent="0.25">
      <c r="A29" s="116" t="s">
        <v>595</v>
      </c>
      <c r="B29" s="175" t="str">
        <f>IF('Anmeldeformular2024-1'!M63=0,"nicht erforderlich",IF(LEN('Anmeldeformular2024-1'!H99)=0,"fehlt","ok"))</f>
        <v>nicht erforderlich</v>
      </c>
      <c r="C29" s="40" t="s">
        <v>227</v>
      </c>
      <c r="D29" s="107"/>
    </row>
    <row r="30" spans="1:4" ht="18.75" customHeight="1" x14ac:dyDescent="0.25">
      <c r="A30" s="116" t="s">
        <v>596</v>
      </c>
      <c r="B30" s="175" t="str">
        <f>IF('Anmeldeformular2024-1'!M63=0,"nicht erforderlich",IF(LEN('Anmeldeformular2024-1'!Q99)=0,"fehlt","ok"))</f>
        <v>nicht erforderlich</v>
      </c>
      <c r="C30" s="154" t="s">
        <v>746</v>
      </c>
      <c r="D30" s="121" t="str">
        <f>IF(LEN(Bedarf)&gt;0,"ok","fehlt")</f>
        <v>fehlt</v>
      </c>
    </row>
    <row r="31" spans="1:4" ht="17.25" customHeight="1" x14ac:dyDescent="0.25">
      <c r="A31" s="116" t="s">
        <v>597</v>
      </c>
      <c r="B31" s="175" t="str">
        <f>IF('Anmeldeformular2024-1'!M63=0,"nicht erforderlich",IF(LEN('Anmeldeformular2024-1'!Y99)=0,"fehlt","ok"))</f>
        <v>nicht erforderlich</v>
      </c>
      <c r="C31" s="154" t="s">
        <v>753</v>
      </c>
      <c r="D31" s="121" t="str">
        <f>IF(LEN(zielvorg)&gt;0,"ok","fehlt")</f>
        <v>fehlt</v>
      </c>
    </row>
    <row r="32" spans="1:4" ht="26.4" x14ac:dyDescent="0.25">
      <c r="A32" s="176" t="s">
        <v>935</v>
      </c>
      <c r="B32" s="175" t="str">
        <f>IF('Anmeldeformular2024-1'!M64=0,"nicht erforderlich",IF(LEN('Anmeldeformular2024-1'!H100)=0,"fehlt","ok"))</f>
        <v>nicht erforderlich</v>
      </c>
      <c r="C32" s="154" t="s">
        <v>754</v>
      </c>
      <c r="D32" s="121" t="str">
        <f>IF(LEN(Pstruktur)&gt;0,"ok","fehlt")</f>
        <v>fehlt</v>
      </c>
    </row>
    <row r="33" spans="1:7" ht="26.4" x14ac:dyDescent="0.25">
      <c r="A33" s="176" t="s">
        <v>936</v>
      </c>
      <c r="B33" s="175" t="str">
        <f>IF('Anmeldeformular2024-1'!M64=0,"nicht erforderlich",IF(LEN('Anmeldeformular2024-1'!Q100)=0,"fehlt","ok"))</f>
        <v>nicht erforderlich</v>
      </c>
      <c r="C33" s="154" t="s">
        <v>755</v>
      </c>
      <c r="D33" s="121" t="str">
        <f>IF(LEN(Indikatorik)&gt;0,"ok","fehlt")</f>
        <v>fehlt</v>
      </c>
    </row>
    <row r="34" spans="1:7" x14ac:dyDescent="0.25">
      <c r="A34" s="176" t="s">
        <v>937</v>
      </c>
      <c r="B34" s="175" t="str">
        <f>IF('Anmeldeformular2024-1'!M64=0,"nicht erforderlich",IF(LEN('Anmeldeformular2024-1'!Y100)=0,"fehlt","ok"))</f>
        <v>nicht erforderlich</v>
      </c>
      <c r="C34" s="154" t="s">
        <v>188</v>
      </c>
      <c r="D34" s="121" t="str">
        <f>IF(LEN(Koop)&gt;0,"ok","fehlt")</f>
        <v>fehlt</v>
      </c>
    </row>
    <row r="35" spans="1:7" x14ac:dyDescent="0.25">
      <c r="A35" s="176" t="s">
        <v>917</v>
      </c>
      <c r="B35" s="175" t="str">
        <f>IF('Anmeldeformular2024-1'!M65=0,"nicht erforderlich",IF(LEN('Anmeldeformular2024-1'!H101)=0,"fehlt","ok"))</f>
        <v>nicht erforderlich</v>
      </c>
      <c r="C35" s="154"/>
      <c r="D35" s="121"/>
    </row>
    <row r="36" spans="1:7" ht="17.25" customHeight="1" x14ac:dyDescent="0.25">
      <c r="A36" s="176" t="s">
        <v>916</v>
      </c>
      <c r="B36" s="175" t="str">
        <f>IF('Anmeldeformular2024-1'!M65=0,"nicht erforderlich",IF(LEN('Anmeldeformular2024-1'!Q101)=0,"fehlt","ok"))</f>
        <v>nicht erforderlich</v>
      </c>
      <c r="D36" s="121"/>
    </row>
    <row r="37" spans="1:7" x14ac:dyDescent="0.25">
      <c r="A37" s="176" t="s">
        <v>918</v>
      </c>
      <c r="B37" s="175" t="str">
        <f>IF('Anmeldeformular2024-1'!M65=0,"nicht erforderlich",IF(LEN('Anmeldeformular2024-1'!Y101)=0,"fehlt","ok"))</f>
        <v>nicht erforderlich</v>
      </c>
      <c r="D37" s="121"/>
    </row>
    <row r="38" spans="1:7" ht="15" customHeight="1" x14ac:dyDescent="0.25">
      <c r="A38" s="176" t="s">
        <v>867</v>
      </c>
      <c r="B38" s="175" t="str">
        <f>IF('Anmeldeformular2024-1'!M66=0,"nicht erforderlich",IF(LEN('Anmeldeformular2024-1'!H102)=0,"fehlt","ok"))</f>
        <v>nicht erforderlich</v>
      </c>
      <c r="C38" s="154"/>
      <c r="D38" s="121"/>
    </row>
    <row r="39" spans="1:7" ht="26.4" x14ac:dyDescent="0.25">
      <c r="A39" s="176" t="s">
        <v>868</v>
      </c>
      <c r="B39" s="175" t="str">
        <f>IF('Anmeldeformular2024-1'!M66=0,"nicht erforderlich",IF(LEN('Anmeldeformular2024-1'!Q102)=0,"fehlt","ok"))</f>
        <v>nicht erforderlich</v>
      </c>
      <c r="C39" s="40" t="s">
        <v>975</v>
      </c>
      <c r="D39" s="121"/>
    </row>
    <row r="40" spans="1:7" x14ac:dyDescent="0.25">
      <c r="A40" s="176" t="s">
        <v>869</v>
      </c>
      <c r="B40" s="175" t="str">
        <f>IF('Anmeldeformular2024-1'!M66=0,"nicht erforderlich",IF(LEN('Anmeldeformular2024-1'!Y102)=0,"fehlt","ok"))</f>
        <v>nicht erforderlich</v>
      </c>
      <c r="C40" s="154" t="s">
        <v>989</v>
      </c>
      <c r="D40" s="121" t="str">
        <f>IF(Gleichstellungsauswahl&gt;0,"ok","fehlt")</f>
        <v>fehlt</v>
      </c>
    </row>
    <row r="41" spans="1:7" x14ac:dyDescent="0.25">
      <c r="A41" s="176" t="s">
        <v>864</v>
      </c>
      <c r="B41" s="175" t="str">
        <f>IF('Anmeldeformular2024-1'!M67=0,"nicht erforderlich",IF(LEN('Anmeldeformular2024-1'!H103)=0,"fehlt","ok"))</f>
        <v>nicht erforderlich</v>
      </c>
      <c r="C41" s="154" t="s">
        <v>990</v>
      </c>
      <c r="D41" s="121" t="str">
        <f>IF(Nichtdiskriminierungsauswahl&gt;0,"ok","fehlt")</f>
        <v>fehlt</v>
      </c>
    </row>
    <row r="42" spans="1:7" x14ac:dyDescent="0.25">
      <c r="A42" s="176" t="s">
        <v>865</v>
      </c>
      <c r="B42" s="175" t="str">
        <f>IF('Anmeldeformular2024-1'!M67=0,"nicht erforderlich",IF(LEN('Anmeldeformular2024-1'!Q103)=0,"fehlt","ok"))</f>
        <v>nicht erforderlich</v>
      </c>
      <c r="C42" s="154" t="s">
        <v>976</v>
      </c>
      <c r="D42" s="121" t="str" cm="1">
        <f t="array" ref="D42">IF(Transnationalauswahl&gt;0,"ok","fehlt")</f>
        <v>fehlt</v>
      </c>
    </row>
    <row r="43" spans="1:7" x14ac:dyDescent="0.25">
      <c r="A43" s="176" t="s">
        <v>866</v>
      </c>
      <c r="B43" s="175" t="str">
        <f>IF('Anmeldeformular2024-1'!M67=0,"nicht erforderlich",IF(LEN('Anmeldeformular2024-1'!Y103)=0,"fehlt","ok"))</f>
        <v>nicht erforderlich</v>
      </c>
      <c r="C43" s="154" t="s">
        <v>977</v>
      </c>
      <c r="D43" s="121" t="str">
        <f>IF(Nachhaltigkeitauswahl&gt;0,"ok","fehlt")</f>
        <v>fehlt</v>
      </c>
    </row>
    <row r="44" spans="1:7" x14ac:dyDescent="0.25">
      <c r="A44" s="176" t="s">
        <v>919</v>
      </c>
      <c r="B44" s="175" t="str">
        <f>IF('Anmeldeformular2024-1'!M68=0,"nicht erforderlich",IF(LEN('Anmeldeformular2024-1'!H104)=0,"fehlt","ok"))</f>
        <v>nicht erforderlich</v>
      </c>
      <c r="C44" s="2" t="s">
        <v>538</v>
      </c>
      <c r="D44" s="121" t="str">
        <f>IF(LEN(Quersch)&gt;0,"ok","fehlt")</f>
        <v>fehlt</v>
      </c>
    </row>
    <row r="45" spans="1:7" x14ac:dyDescent="0.25">
      <c r="A45" s="176" t="s">
        <v>920</v>
      </c>
      <c r="B45" s="175" t="str">
        <f>IF('Anmeldeformular2024-1'!M68=0,"nicht erforderlich",IF(LEN('Anmeldeformular2024-1'!Q104)=0,"fehlt","ok"))</f>
        <v>nicht erforderlich</v>
      </c>
      <c r="C45" s="154" t="s">
        <v>998</v>
      </c>
      <c r="D45" s="121" t="str">
        <f>IF(Entschuldung&gt;0,"ok","fehlt")</f>
        <v>fehlt</v>
      </c>
    </row>
    <row r="46" spans="1:7" ht="13.8" thickBot="1" x14ac:dyDescent="0.3">
      <c r="A46" s="176" t="s">
        <v>921</v>
      </c>
      <c r="B46" s="175" t="str">
        <f>IF('Anmeldeformular2024-1'!M68=0,"nicht erforderlich",IF(LEN('Anmeldeformular2024-1'!Y104)=0,"fehlt","ok"))</f>
        <v>nicht erforderlich</v>
      </c>
      <c r="C46" s="196" t="s">
        <v>988</v>
      </c>
      <c r="D46" s="122" t="str">
        <f>IF(EuropaIch&gt;0,"ok","fehlt")</f>
        <v>fehlt</v>
      </c>
      <c r="G46" s="2"/>
    </row>
    <row r="47" spans="1:7" x14ac:dyDescent="0.25">
      <c r="A47" s="154" t="s">
        <v>810</v>
      </c>
      <c r="B47" s="175" t="str">
        <f>IF('Anmeldeformular2024-1'!M69=0,"nicht erforderlich",IF(LEN('Anmeldeformular2024-1'!H105)=0,"fehlt","ok"))</f>
        <v>nicht erforderlich</v>
      </c>
      <c r="D47" s="121"/>
    </row>
    <row r="48" spans="1:7" x14ac:dyDescent="0.25">
      <c r="A48" s="154" t="s">
        <v>828</v>
      </c>
      <c r="B48" s="175" t="str">
        <f>IF('Anmeldeformular2024-1'!M69=0,"nicht erforderlich",IF(LEN('Anmeldeformular2024-1'!Q105)=0,"fehlt","ok"))</f>
        <v>nicht erforderlich</v>
      </c>
      <c r="D48" s="121"/>
    </row>
    <row r="49" spans="1:4" ht="13.8" thickBot="1" x14ac:dyDescent="0.3">
      <c r="A49" s="154" t="s">
        <v>829</v>
      </c>
      <c r="B49" s="175" t="str">
        <f>IF('Anmeldeformular2024-1'!M69=0,"nicht erforderlich",IF(LEN('Anmeldeformular2024-1'!Y105)=0,"fehlt","ok"))</f>
        <v>nicht erforderlich</v>
      </c>
      <c r="C49" s="126"/>
      <c r="D49" s="122"/>
    </row>
    <row r="50" spans="1:4" x14ac:dyDescent="0.25">
      <c r="A50" s="154" t="s">
        <v>861</v>
      </c>
      <c r="B50" s="175" t="str">
        <f>IF('Anmeldeformular2024-1'!M70=0,"nicht erforderlich",IF(LEN('Anmeldeformular2024-1'!H106)=0,"fehlt","ok"))</f>
        <v>nicht erforderlich</v>
      </c>
      <c r="D50" s="128"/>
    </row>
    <row r="51" spans="1:4" x14ac:dyDescent="0.25">
      <c r="A51" s="154" t="s">
        <v>862</v>
      </c>
      <c r="B51" s="175" t="str">
        <f>IF('Anmeldeformular2024-1'!M70=0,"nicht erforderlich",IF(LEN('Anmeldeformular2024-1'!Q106)=0,"fehlt","ok"))</f>
        <v>nicht erforderlich</v>
      </c>
      <c r="D51" s="128"/>
    </row>
    <row r="52" spans="1:4" x14ac:dyDescent="0.25">
      <c r="A52" s="154" t="s">
        <v>863</v>
      </c>
      <c r="B52" s="175" t="str">
        <f>IF('Anmeldeformular2024-1'!M70=0,"nicht erforderlich",IF(LEN('Anmeldeformular2024-1'!Y106)=0,"fehlt","ok"))</f>
        <v>nicht erforderlich</v>
      </c>
      <c r="D52" s="128"/>
    </row>
    <row r="53" spans="1:4" x14ac:dyDescent="0.25">
      <c r="A53" s="176" t="s">
        <v>743</v>
      </c>
      <c r="B53" s="175" t="str">
        <f>IF('Anmeldeformular2024-1'!M71=0,"nicht erforderlich",IF(LEN('Anmeldeformular2024-1'!H107)=0,"fehlt","ok"))</f>
        <v>nicht erforderlich</v>
      </c>
      <c r="D53" s="128"/>
    </row>
    <row r="54" spans="1:4" x14ac:dyDescent="0.25">
      <c r="A54" s="176" t="s">
        <v>830</v>
      </c>
      <c r="B54" s="175" t="str">
        <f>IF('Anmeldeformular2024-1'!M71=0,"nicht erforderlich",IF(LEN('Anmeldeformular2024-1'!Q107)=0,"fehlt","ok"))</f>
        <v>nicht erforderlich</v>
      </c>
      <c r="D54" s="128"/>
    </row>
    <row r="55" spans="1:4" x14ac:dyDescent="0.25">
      <c r="A55" s="176" t="s">
        <v>832</v>
      </c>
      <c r="B55" s="175" t="str">
        <f>IF('Anmeldeformular2024-1'!M71=0,"nicht erforderlich",IF(LEN('Anmeldeformular2024-1'!Y107)=0,"fehlt","ok"))</f>
        <v>nicht erforderlich</v>
      </c>
      <c r="D55" s="128"/>
    </row>
    <row r="56" spans="1:4" x14ac:dyDescent="0.25">
      <c r="A56" s="176" t="s">
        <v>742</v>
      </c>
      <c r="B56" s="175" t="str">
        <f>IF('Anmeldeformular2024-1'!M72=0,"nicht erforderlich",IF(LEN('Anmeldeformular2024-1'!H108)=0,"fehlt","ok"))</f>
        <v>nicht erforderlich</v>
      </c>
      <c r="D56" s="128"/>
    </row>
    <row r="57" spans="1:4" x14ac:dyDescent="0.25">
      <c r="A57" s="176" t="s">
        <v>831</v>
      </c>
      <c r="B57" s="175" t="str">
        <f>IF('Anmeldeformular2024-1'!M72=0,"nicht erforderlich",IF(LEN('Anmeldeformular2024-1'!Q108)=0,"fehlt","ok"))</f>
        <v>nicht erforderlich</v>
      </c>
      <c r="D57" s="128"/>
    </row>
    <row r="58" spans="1:4" x14ac:dyDescent="0.25">
      <c r="A58" s="176" t="s">
        <v>835</v>
      </c>
      <c r="B58" s="175" t="str">
        <f>IF('Anmeldeformular2024-1'!M72=0,"nicht erforderlich",IF(LEN('Anmeldeformular2024-1'!Y108)=0,"fehlt","ok"))</f>
        <v>nicht erforderlich</v>
      </c>
      <c r="D58" s="128"/>
    </row>
    <row r="59" spans="1:4" x14ac:dyDescent="0.25">
      <c r="A59" s="176" t="s">
        <v>811</v>
      </c>
      <c r="B59" s="175" t="str">
        <f>IF('Anmeldeformular2024-1'!M73=0,"nicht erforderlich",IF(LEN('Anmeldeformular2024-1'!H109)=0,"fehlt","ok"))</f>
        <v>nicht erforderlich</v>
      </c>
    </row>
    <row r="60" spans="1:4" x14ac:dyDescent="0.25">
      <c r="A60" s="176" t="s">
        <v>833</v>
      </c>
      <c r="B60" s="175" t="str">
        <f>IF('Anmeldeformular2024-1'!M73=0,"nicht erforderlich",IF(LEN('Anmeldeformular2024-1'!Q109)=0,"fehlt","ok"))</f>
        <v>nicht erforderlich</v>
      </c>
      <c r="C60" s="658">
        <f>Tname</f>
        <v>0</v>
      </c>
      <c r="D60" s="658"/>
    </row>
    <row r="61" spans="1:4" x14ac:dyDescent="0.25">
      <c r="A61" s="176" t="s">
        <v>836</v>
      </c>
      <c r="B61" s="175" t="str">
        <f>IF('Anmeldeformular2024-1'!M73=0,"nicht erforderlich",IF(LEN('Anmeldeformular2024-1'!Y109)=0,"fehlt","ok"))</f>
        <v>nicht erforderlich</v>
      </c>
      <c r="C61" s="657">
        <f>Ptitel</f>
        <v>0</v>
      </c>
      <c r="D61" s="657"/>
    </row>
    <row r="62" spans="1:4" x14ac:dyDescent="0.25">
      <c r="A62" s="176" t="s">
        <v>744</v>
      </c>
      <c r="B62" s="175" t="str">
        <f>IF('Anmeldeformular2024-1'!M74=0,"nicht erforderlich",IF(LEN('Anmeldeformular2024-1'!H110)=0,"fehlt","ok"))</f>
        <v>nicht erforderlich</v>
      </c>
      <c r="C62" s="657"/>
      <c r="D62" s="657"/>
    </row>
    <row r="63" spans="1:4" x14ac:dyDescent="0.25">
      <c r="A63" s="176" t="s">
        <v>834</v>
      </c>
      <c r="B63" s="175" t="str">
        <f>IF('Anmeldeformular2024-1'!M74=0,"nicht erforderlich",IF(LEN('Anmeldeformular2024-1'!Q110)=0,"fehlt","ok"))</f>
        <v>nicht erforderlich</v>
      </c>
    </row>
    <row r="64" spans="1:4" x14ac:dyDescent="0.25">
      <c r="A64" s="176" t="s">
        <v>837</v>
      </c>
      <c r="B64" s="175" t="str">
        <f>IF('Anmeldeformular2024-1'!M74=0,"nicht erforderlich",IF(LEN('Anmeldeformular2024-1'!Y110)=0,"fehlt","ok"))</f>
        <v>nicht erforderlich</v>
      </c>
      <c r="C64" s="658"/>
      <c r="D64" s="658"/>
    </row>
    <row r="65" spans="1:3" x14ac:dyDescent="0.25">
      <c r="A65" s="176" t="s">
        <v>812</v>
      </c>
      <c r="B65" s="175" t="str">
        <f>IF('Anmeldeformular2024-1'!M76=0,"nicht erforderlich",IF(LEN('Anmeldeformular2024-1'!H111)=0,"fehlt","ok"))</f>
        <v>nicht erforderlich</v>
      </c>
    </row>
    <row r="66" spans="1:3" ht="14.4" customHeight="1" x14ac:dyDescent="0.25">
      <c r="A66" s="176" t="s">
        <v>839</v>
      </c>
      <c r="B66" s="175" t="str">
        <f>IF('Anmeldeformular2024-1'!M76=0,"nicht erforderlich",IF(LEN('Anmeldeformular2024-1'!Q111)=0,"fehlt","ok"))</f>
        <v>nicht erforderlich</v>
      </c>
      <c r="C66" s="481"/>
    </row>
    <row r="67" spans="1:3" x14ac:dyDescent="0.25">
      <c r="A67" s="177" t="s">
        <v>840</v>
      </c>
      <c r="B67" s="175" t="str">
        <f>IF('Anmeldeformular2024-1'!M76=0,"nicht erforderlich",IF(LEN('Anmeldeformular2024-1'!Y111)=0,"fehlt","ok"))</f>
        <v>nicht erforderlich</v>
      </c>
      <c r="C67" s="481"/>
    </row>
    <row r="68" spans="1:3" x14ac:dyDescent="0.25">
      <c r="A68" s="116" t="s">
        <v>598</v>
      </c>
      <c r="B68" s="175" t="str">
        <f>IF('Anmeldeformular2024-1'!M80=0,"nicht erforderlich",IF(LEN('Anmeldeformular2024-1'!H112)=0,"fehlt","ok"))</f>
        <v>nicht erforderlich</v>
      </c>
    </row>
    <row r="69" spans="1:3" x14ac:dyDescent="0.25">
      <c r="A69" s="116" t="s">
        <v>838</v>
      </c>
      <c r="B69" s="175" t="str">
        <f>IF('Anmeldeformular2024-1'!M80=0,"nicht erforderlich",IF(LEN('Anmeldeformular2024-1'!Q112)=0,"fehlt","ok"))</f>
        <v>nicht erforderlich</v>
      </c>
    </row>
    <row r="70" spans="1:3" x14ac:dyDescent="0.25">
      <c r="A70" s="178" t="s">
        <v>841</v>
      </c>
      <c r="B70" s="179" t="str">
        <f>IF('Anmeldeformular2024-1'!M80=0,"nicht erforderlich",IF(LEN('Anmeldeformular2024-1'!Y112)=0,"fehlt","ok"))</f>
        <v>nicht erforderlich</v>
      </c>
    </row>
  </sheetData>
  <sheetProtection algorithmName="SHA-512" hashValue="16FmezPsTvtFhymbBpqGHRmIXKkl1rxJTYOdv/QRJSIGo3boMlrM/gYfyP7JeYZ0PVBq16pJnBP8T++Gc1xnQg==" saltValue="telfNUhHSQOKlI+oIS5cbg==" spinCount="100000" sheet="1" selectLockedCells="1" selectUnlockedCells="1"/>
  <customSheetViews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66:C67"/>
    <mergeCell ref="C61:D62"/>
    <mergeCell ref="C60:D60"/>
    <mergeCell ref="C64:D64"/>
  </mergeCells>
  <phoneticPr fontId="21" type="noConversion"/>
  <conditionalFormatting sqref="B4:B9 B12:B20 B22:B23 B25:B70">
    <cfRule type="cellIs" dxfId="17" priority="5" stopIfTrue="1" operator="equal">
      <formula>"fehlt"</formula>
    </cfRule>
  </conditionalFormatting>
  <conditionalFormatting sqref="D2:D3 B11 B21">
    <cfRule type="cellIs" dxfId="16" priority="3" stopIfTrue="1" operator="equal">
      <formula>"ok"</formula>
    </cfRule>
  </conditionalFormatting>
  <conditionalFormatting sqref="D4:D27 D30:D58">
    <cfRule type="cellIs" dxfId="15" priority="4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8"/>
  <sheetViews>
    <sheetView showGridLines="0" zoomScaleNormal="100" workbookViewId="0">
      <selection activeCell="X86" sqref="X86:AF86"/>
    </sheetView>
  </sheetViews>
  <sheetFormatPr baseColWidth="10" defaultRowHeight="13.2" x14ac:dyDescent="0.25"/>
  <cols>
    <col min="1" max="8" width="2.6640625" customWidth="1"/>
    <col min="9" max="9" width="6.109375" customWidth="1"/>
    <col min="10" max="22" width="2.6640625" customWidth="1"/>
    <col min="23" max="23" width="4.6640625" customWidth="1"/>
    <col min="24" max="32" width="2.6640625" customWidth="1"/>
    <col min="33" max="33" width="11.44140625" style="56" customWidth="1"/>
  </cols>
  <sheetData>
    <row r="1" spans="1:34" ht="15.6" x14ac:dyDescent="0.3">
      <c r="A1" s="790" t="s">
        <v>970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6"/>
      <c r="AE1" s="791">
        <f>AnmeldeNummer</f>
        <v>0</v>
      </c>
      <c r="AF1" s="792"/>
    </row>
    <row r="2" spans="1:34" ht="15.6" x14ac:dyDescent="0.3">
      <c r="A2" s="795" t="s">
        <v>151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6"/>
      <c r="AE2" s="793"/>
      <c r="AF2" s="794"/>
    </row>
    <row r="3" spans="1:3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805" t="str">
        <f>IF(neufass=0,"","Neue Fassung")</f>
        <v/>
      </c>
      <c r="V3" s="500"/>
      <c r="W3" s="500"/>
      <c r="X3" s="800" t="str">
        <f>IF(neufass=0,"",neufass)</f>
        <v/>
      </c>
      <c r="Y3" s="801"/>
      <c r="Z3" s="801"/>
      <c r="AA3" s="802"/>
      <c r="AB3" s="6"/>
      <c r="AC3" s="6"/>
      <c r="AD3" s="6"/>
      <c r="AE3" s="799" t="s">
        <v>113</v>
      </c>
      <c r="AF3" s="799"/>
    </row>
    <row r="4" spans="1:34" x14ac:dyDescent="0.25">
      <c r="A4" s="14" t="s">
        <v>910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806"/>
      <c r="V4" s="504"/>
      <c r="W4" s="504"/>
      <c r="X4" s="803"/>
      <c r="Y4" s="803"/>
      <c r="Z4" s="803"/>
      <c r="AA4" s="804"/>
      <c r="AB4" s="6"/>
      <c r="AC4" s="796">
        <f>Anmeldeingang</f>
        <v>0</v>
      </c>
      <c r="AD4" s="797"/>
      <c r="AE4" s="797"/>
      <c r="AF4" s="798"/>
    </row>
    <row r="5" spans="1:34" x14ac:dyDescent="0.25">
      <c r="A5" s="8" t="s">
        <v>114</v>
      </c>
      <c r="B5" s="6"/>
      <c r="C5" s="6"/>
      <c r="D5" s="6"/>
      <c r="E5" s="66"/>
      <c r="F5" s="66"/>
      <c r="G5" s="66"/>
      <c r="H5" s="673">
        <f>Tname</f>
        <v>0</v>
      </c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6"/>
      <c r="AB5" s="67"/>
      <c r="AC5" s="799"/>
      <c r="AD5" s="799"/>
      <c r="AE5" s="799"/>
      <c r="AF5" s="799"/>
    </row>
    <row r="6" spans="1:34" x14ac:dyDescent="0.25">
      <c r="A6" s="8" t="s">
        <v>115</v>
      </c>
      <c r="B6" s="6"/>
      <c r="C6" s="6"/>
      <c r="D6" s="6"/>
      <c r="E6" s="66"/>
      <c r="F6" s="66"/>
      <c r="G6" s="66"/>
      <c r="H6" s="673" t="str">
        <f>Anspranrede&amp;" "&amp;ansprvorname&amp;" "&amp;Ansprname</f>
        <v xml:space="preserve">  </v>
      </c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9"/>
    </row>
    <row r="7" spans="1:34" x14ac:dyDescent="0.25">
      <c r="A7" s="8" t="s">
        <v>116</v>
      </c>
      <c r="B7" s="6"/>
      <c r="C7" s="6"/>
      <c r="D7" s="6"/>
      <c r="E7" s="17" t="s">
        <v>117</v>
      </c>
      <c r="F7" s="7"/>
      <c r="G7" s="73"/>
      <c r="H7" s="813">
        <f>ansprtel</f>
        <v>0</v>
      </c>
      <c r="I7" s="813"/>
      <c r="J7" s="813"/>
      <c r="K7" s="813"/>
      <c r="L7" s="813"/>
      <c r="M7" s="813"/>
      <c r="N7" s="7"/>
      <c r="O7" s="17" t="s">
        <v>118</v>
      </c>
      <c r="P7" s="7"/>
      <c r="Q7" s="7"/>
      <c r="R7" s="673">
        <f>ansprmail</f>
        <v>0</v>
      </c>
      <c r="S7" s="673"/>
      <c r="T7" s="673"/>
      <c r="U7" s="673"/>
      <c r="V7" s="673"/>
      <c r="W7" s="673"/>
      <c r="X7" s="673"/>
      <c r="Y7" s="673"/>
      <c r="Z7" s="673"/>
      <c r="AA7" s="673"/>
      <c r="AB7" s="673"/>
      <c r="AC7" s="673"/>
      <c r="AD7" s="673"/>
      <c r="AE7" s="673"/>
      <c r="AF7" s="9"/>
    </row>
    <row r="8" spans="1:34" x14ac:dyDescent="0.25">
      <c r="A8" s="14" t="s">
        <v>171</v>
      </c>
      <c r="B8" s="11"/>
      <c r="C8" s="11"/>
      <c r="D8" s="11"/>
      <c r="E8" s="11"/>
      <c r="F8" s="11"/>
      <c r="G8" s="11"/>
      <c r="H8" s="11"/>
      <c r="I8" s="11"/>
      <c r="J8" s="11"/>
      <c r="K8" s="666" t="str">
        <f ca="1">Ueregion</f>
        <v xml:space="preserve"> </v>
      </c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2"/>
    </row>
    <row r="9" spans="1:34" x14ac:dyDescent="0.25">
      <c r="A9" s="8" t="s">
        <v>119</v>
      </c>
      <c r="B9" s="6"/>
      <c r="C9" s="6"/>
      <c r="D9" s="6"/>
      <c r="E9" s="66"/>
      <c r="F9" s="66"/>
      <c r="G9" s="66"/>
      <c r="H9" s="673">
        <f>Ptitel</f>
        <v>0</v>
      </c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3"/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9"/>
      <c r="AH9" s="56"/>
    </row>
    <row r="10" spans="1:34" x14ac:dyDescent="0.25">
      <c r="A10" s="8" t="s">
        <v>120</v>
      </c>
      <c r="B10" s="6"/>
      <c r="C10" s="6"/>
      <c r="D10" s="6"/>
      <c r="E10" s="17" t="s">
        <v>121</v>
      </c>
      <c r="F10" s="6"/>
      <c r="G10" s="6"/>
      <c r="H10" s="814">
        <f>Beginn</f>
        <v>0</v>
      </c>
      <c r="I10" s="814"/>
      <c r="J10" s="814"/>
      <c r="K10" s="814"/>
      <c r="L10" s="6"/>
      <c r="M10" s="17" t="s">
        <v>122</v>
      </c>
      <c r="N10" s="6"/>
      <c r="O10" s="6"/>
      <c r="P10" s="814">
        <f>Ende</f>
        <v>0</v>
      </c>
      <c r="Q10" s="814"/>
      <c r="R10" s="814"/>
      <c r="S10" s="814"/>
      <c r="T10" s="6"/>
      <c r="U10" s="129" t="s">
        <v>733</v>
      </c>
      <c r="V10" s="6"/>
      <c r="W10" s="148">
        <f>TNpl</f>
        <v>0</v>
      </c>
      <c r="Y10" s="145"/>
      <c r="Z10" s="132" t="s">
        <v>732</v>
      </c>
      <c r="AD10" s="816">
        <f>TNanz</f>
        <v>0</v>
      </c>
      <c r="AE10" s="673"/>
      <c r="AG10" s="170"/>
      <c r="AH10" s="56"/>
    </row>
    <row r="11" spans="1:34" x14ac:dyDescent="0.25">
      <c r="A11" s="8" t="s">
        <v>123</v>
      </c>
      <c r="B11" s="6"/>
      <c r="C11" s="6"/>
      <c r="D11" s="6"/>
      <c r="E11" s="6"/>
      <c r="F11" s="6"/>
      <c r="G11" s="6"/>
      <c r="H11" s="673" t="str">
        <f ca="1">GEK</f>
        <v>Bitte auswählen</v>
      </c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6"/>
      <c r="U11" s="180" t="s">
        <v>827</v>
      </c>
      <c r="V11" s="105"/>
      <c r="W11" s="671">
        <f ca="1">HSOB</f>
        <v>0</v>
      </c>
      <c r="X11" s="672"/>
      <c r="Y11" s="672"/>
      <c r="Z11" s="129"/>
      <c r="AC11" s="6"/>
      <c r="AD11" s="673"/>
      <c r="AE11" s="673"/>
      <c r="AF11" s="815"/>
      <c r="AH11" s="56"/>
    </row>
    <row r="12" spans="1:34" ht="14.4" customHeight="1" x14ac:dyDescent="0.25">
      <c r="A12" s="8" t="s">
        <v>125</v>
      </c>
      <c r="B12" s="6"/>
      <c r="C12" s="6"/>
      <c r="D12" s="6"/>
      <c r="E12" s="6"/>
      <c r="F12" s="6"/>
      <c r="G12" s="6"/>
      <c r="H12" s="779">
        <f>mastdges+esfges</f>
        <v>0</v>
      </c>
      <c r="I12" s="779"/>
      <c r="J12" s="779"/>
      <c r="K12" s="779"/>
      <c r="L12" s="779"/>
      <c r="M12" s="779"/>
      <c r="N12" s="779"/>
      <c r="O12" s="68"/>
      <c r="U12" s="129" t="s">
        <v>764</v>
      </c>
      <c r="W12" t="str">
        <f>IF(edwdAuswahl=2,"ja","nein")</f>
        <v>nein</v>
      </c>
      <c r="Z12" s="65" t="s">
        <v>124</v>
      </c>
      <c r="AA12" s="66"/>
      <c r="AB12" s="66"/>
      <c r="AC12" s="6"/>
      <c r="AD12" s="673" t="str">
        <f>IF(TNrlpauswahl=0,"",IF(TNrlpauswahl=1,"ja","nein"))</f>
        <v/>
      </c>
      <c r="AE12" s="673"/>
      <c r="AF12" s="9"/>
      <c r="AH12" s="56"/>
    </row>
    <row r="13" spans="1:34" x14ac:dyDescent="0.25">
      <c r="A13" s="131" t="s">
        <v>995</v>
      </c>
      <c r="B13" s="6"/>
      <c r="C13" s="6"/>
      <c r="D13" s="6"/>
      <c r="E13" s="6"/>
      <c r="F13" s="6"/>
      <c r="G13" s="6"/>
      <c r="H13" s="779">
        <f>mastd1jahr+esf1jahr</f>
        <v>0</v>
      </c>
      <c r="I13" s="779"/>
      <c r="J13" s="779"/>
      <c r="K13" s="779"/>
      <c r="L13" s="779"/>
      <c r="M13" s="779"/>
      <c r="N13" s="779"/>
      <c r="O13" s="68"/>
      <c r="P13" s="132"/>
      <c r="Q13" s="6"/>
      <c r="R13" s="6"/>
      <c r="S13" s="6"/>
      <c r="T13" s="6"/>
      <c r="U13" s="779"/>
      <c r="V13" s="672"/>
      <c r="W13" s="672"/>
      <c r="X13" s="672"/>
      <c r="Y13" s="146"/>
      <c r="AF13" s="9"/>
    </row>
    <row r="14" spans="1:34" x14ac:dyDescent="0.25">
      <c r="A14" s="131" t="s">
        <v>996</v>
      </c>
      <c r="B14" s="6"/>
      <c r="C14" s="6"/>
      <c r="D14" s="6"/>
      <c r="E14" s="6"/>
      <c r="F14" s="6"/>
      <c r="G14" s="6"/>
      <c r="H14" s="779">
        <f>esf2jahr+mastd2jahr</f>
        <v>0</v>
      </c>
      <c r="I14" s="672"/>
      <c r="J14" s="146"/>
      <c r="K14" s="146"/>
      <c r="L14" s="146"/>
      <c r="M14" s="146"/>
      <c r="N14" s="146"/>
      <c r="O14" s="68"/>
      <c r="P14" s="769" t="str">
        <f ca="1">Ueregion</f>
        <v xml:space="preserve"> </v>
      </c>
      <c r="Q14" s="770"/>
      <c r="R14" s="770"/>
      <c r="S14" s="770"/>
      <c r="T14" s="770"/>
      <c r="U14" s="770"/>
      <c r="V14" s="770"/>
      <c r="W14" s="770"/>
      <c r="X14" s="770"/>
      <c r="Y14" s="146"/>
      <c r="AF14" s="9"/>
    </row>
    <row r="15" spans="1:34" ht="16.5" customHeight="1" x14ac:dyDescent="0.25">
      <c r="A15" s="8"/>
      <c r="B15" s="6"/>
      <c r="C15" s="6"/>
      <c r="D15" s="6"/>
      <c r="E15" s="811"/>
      <c r="F15" s="812"/>
      <c r="G15" s="812"/>
      <c r="H15" s="812"/>
      <c r="I15" s="812"/>
      <c r="J15" s="812"/>
      <c r="K15" s="812"/>
      <c r="L15" s="812"/>
      <c r="M15" s="812"/>
      <c r="N15" s="812"/>
      <c r="O15" s="812"/>
      <c r="P15" s="130" t="s">
        <v>705</v>
      </c>
      <c r="Q15" s="104"/>
      <c r="R15" s="104"/>
      <c r="S15" s="104"/>
      <c r="T15" s="104"/>
      <c r="U15" s="809" t="str">
        <f ca="1">Fansatz</f>
        <v>Frauen aktiv in die Zukunft</v>
      </c>
      <c r="V15" s="809"/>
      <c r="W15" s="809"/>
      <c r="X15" s="809"/>
      <c r="Y15" s="809"/>
      <c r="Z15" s="809"/>
      <c r="AA15" s="809"/>
      <c r="AB15" s="809"/>
      <c r="AC15" s="809"/>
      <c r="AD15" s="809"/>
      <c r="AE15" s="809"/>
      <c r="AF15" s="810"/>
    </row>
    <row r="16" spans="1:34" x14ac:dyDescent="0.25">
      <c r="A16" s="142" t="s">
        <v>913</v>
      </c>
      <c r="B16" s="10"/>
      <c r="C16" s="10"/>
      <c r="D16" s="10"/>
      <c r="E16" s="776" t="str">
        <f ca="1">Aktion</f>
        <v>ESO 4.8 Förd. der aktiven Inklusion mit Blick auf die Verbesserung der Chancengleichheit, Nichtdiskriminierung u. aktiven Teilhabe sowie Erhöhung der Beschäftigungsfähigkeit…</v>
      </c>
      <c r="F16" s="777"/>
      <c r="G16" s="777"/>
      <c r="H16" s="777"/>
      <c r="I16" s="777"/>
      <c r="J16" s="777"/>
      <c r="K16" s="777"/>
      <c r="L16" s="777"/>
      <c r="M16" s="777"/>
      <c r="N16" s="777"/>
      <c r="O16" s="778"/>
      <c r="P16" s="104" t="s">
        <v>126</v>
      </c>
      <c r="Q16" s="30"/>
      <c r="R16" s="30"/>
      <c r="S16" s="30"/>
      <c r="T16" s="119"/>
      <c r="U16" s="780" t="str">
        <f ca="1">ZG</f>
        <v>Langzeitleistungsbeziehende (SGB II) / strukturell Benachteiligte im Leistungsbezug (SGB II)</v>
      </c>
      <c r="V16" s="781"/>
      <c r="W16" s="781"/>
      <c r="X16" s="781"/>
      <c r="Y16" s="781"/>
      <c r="Z16" s="781"/>
      <c r="AA16" s="781"/>
      <c r="AB16" s="781"/>
      <c r="AC16" s="781"/>
      <c r="AD16" s="781"/>
      <c r="AE16" s="781"/>
      <c r="AF16" s="782"/>
    </row>
    <row r="17" spans="1:32" ht="16.2" customHeight="1" x14ac:dyDescent="0.25">
      <c r="A17" s="14" t="s">
        <v>911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7"/>
      <c r="M17" s="11"/>
      <c r="N17" s="12"/>
      <c r="O17" s="8"/>
      <c r="P17" s="6"/>
      <c r="Q17" s="6"/>
      <c r="R17" s="6"/>
      <c r="S17" s="6"/>
      <c r="T17" s="6"/>
      <c r="U17" s="781"/>
      <c r="V17" s="781"/>
      <c r="W17" s="781"/>
      <c r="X17" s="781"/>
      <c r="Y17" s="781"/>
      <c r="Z17" s="781"/>
      <c r="AA17" s="781"/>
      <c r="AB17" s="781"/>
      <c r="AC17" s="781"/>
      <c r="AD17" s="781"/>
      <c r="AE17" s="781"/>
      <c r="AF17" s="782"/>
    </row>
    <row r="18" spans="1:32" ht="19.5" customHeight="1" x14ac:dyDescent="0.25">
      <c r="A18" s="807" t="s">
        <v>384</v>
      </c>
      <c r="B18" s="808"/>
      <c r="C18" s="808"/>
      <c r="D18" s="808"/>
      <c r="E18" s="10"/>
      <c r="F18" s="10"/>
      <c r="G18" s="10"/>
      <c r="H18" s="10"/>
      <c r="I18" s="10"/>
      <c r="J18" s="10"/>
      <c r="K18" s="10"/>
      <c r="L18" s="10"/>
      <c r="M18" s="10"/>
      <c r="N18" s="118"/>
      <c r="O18" s="191"/>
      <c r="P18" s="784" t="s">
        <v>969</v>
      </c>
      <c r="Q18" s="737"/>
      <c r="R18" s="737"/>
      <c r="S18" s="737"/>
      <c r="T18" s="737"/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85"/>
    </row>
    <row r="19" spans="1:32" x14ac:dyDescent="0.25">
      <c r="A19" s="25" t="s">
        <v>170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AF19" s="28"/>
    </row>
    <row r="20" spans="1:32" x14ac:dyDescent="0.25">
      <c r="A20" s="27" t="s">
        <v>375</v>
      </c>
      <c r="I20" s="167" t="str">
        <f>IF(Anmeldeingang=0,"",IF(Anmeldeingang&gt;FristEingang,"nein", "ja"))</f>
        <v/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8"/>
    </row>
    <row r="21" spans="1:32" x14ac:dyDescent="0.25">
      <c r="A21" s="27" t="s">
        <v>127</v>
      </c>
      <c r="H21" s="761" t="str">
        <f>IF(AND(Beginn&gt;=FProjBeginn, Beginn&lt;=SProjBeginn),"ja","nein")</f>
        <v>nein</v>
      </c>
      <c r="I21" s="761"/>
      <c r="K21" s="29"/>
      <c r="L21" s="29"/>
      <c r="M21" s="29"/>
      <c r="N21" s="29"/>
      <c r="O21" s="29"/>
      <c r="P21" s="29"/>
      <c r="Q21" s="29"/>
      <c r="R21" s="29"/>
      <c r="S21" s="29"/>
      <c r="T21" s="762" t="str">
        <f>IF(Beginn=0,"",IF(DATEDIF(Beginn,Ende,"M")+1&gt;24,"ja","nein"))</f>
        <v/>
      </c>
      <c r="U21" s="763"/>
      <c r="V21" s="764"/>
      <c r="W21" s="29"/>
      <c r="X21" s="29"/>
      <c r="Y21" s="29"/>
      <c r="Z21" s="29"/>
      <c r="AA21" s="29"/>
      <c r="AB21" s="29"/>
      <c r="AC21" s="29"/>
      <c r="AD21" s="29"/>
      <c r="AE21" s="29"/>
      <c r="AF21" s="28"/>
    </row>
    <row r="22" spans="1:32" ht="18" customHeight="1" x14ac:dyDescent="0.25">
      <c r="A22" s="186" t="s">
        <v>912</v>
      </c>
      <c r="H22" t="s">
        <v>128</v>
      </c>
      <c r="K22" t="s">
        <v>129</v>
      </c>
      <c r="AF22" s="28"/>
    </row>
    <row r="23" spans="1:32" ht="18" customHeight="1" x14ac:dyDescent="0.25">
      <c r="A23" s="27"/>
      <c r="O23" s="129" t="s">
        <v>900</v>
      </c>
      <c r="AF23" s="28"/>
    </row>
    <row r="24" spans="1:32" ht="20.25" customHeight="1" x14ac:dyDescent="0.25">
      <c r="A24" s="752"/>
      <c r="B24" s="481"/>
      <c r="C24" s="481"/>
      <c r="N24" t="s">
        <v>765</v>
      </c>
      <c r="AF24" s="28"/>
    </row>
    <row r="25" spans="1:32" ht="19.5" customHeight="1" x14ac:dyDescent="0.25">
      <c r="A25" s="27" t="s">
        <v>133</v>
      </c>
      <c r="H25" t="s">
        <v>130</v>
      </c>
      <c r="K25" t="s">
        <v>131</v>
      </c>
      <c r="AF25" s="28"/>
    </row>
    <row r="26" spans="1:32" ht="13.5" customHeight="1" x14ac:dyDescent="0.25">
      <c r="A26" s="675" t="s">
        <v>975</v>
      </c>
      <c r="B26" s="676"/>
      <c r="C26" s="676"/>
      <c r="D26" s="676"/>
      <c r="E26" s="676"/>
      <c r="F26" s="676"/>
      <c r="G26" s="676"/>
      <c r="H26" s="676"/>
      <c r="I26" s="676"/>
      <c r="J26" s="61"/>
      <c r="K26" s="5" t="s">
        <v>193</v>
      </c>
      <c r="L26" s="5"/>
      <c r="M26" s="5"/>
      <c r="N26" s="674" t="s">
        <v>194</v>
      </c>
      <c r="O26" s="674"/>
      <c r="P26" s="674" t="s">
        <v>148</v>
      </c>
      <c r="Q26" s="674" t="s">
        <v>136</v>
      </c>
      <c r="R26" s="60"/>
      <c r="S26" s="60" t="s">
        <v>195</v>
      </c>
      <c r="T26" s="5"/>
      <c r="U26" s="783" t="s">
        <v>191</v>
      </c>
      <c r="V26" s="660"/>
      <c r="W26" s="660"/>
      <c r="X26" s="660"/>
      <c r="Y26" s="660"/>
      <c r="Z26" s="660"/>
      <c r="AA26" s="660"/>
      <c r="AB26" s="660"/>
      <c r="AC26" s="660"/>
      <c r="AD26" s="660"/>
      <c r="AE26" s="660"/>
      <c r="AF26" s="661"/>
    </row>
    <row r="27" spans="1:32" ht="25.5" customHeight="1" x14ac:dyDescent="0.25">
      <c r="A27" s="719" t="s">
        <v>981</v>
      </c>
      <c r="B27" s="720"/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660"/>
      <c r="U27" s="788"/>
      <c r="V27" s="750"/>
      <c r="W27" s="750"/>
      <c r="X27" s="750"/>
      <c r="Y27" s="750"/>
      <c r="Z27" s="750"/>
      <c r="AA27" s="750"/>
      <c r="AB27" s="750"/>
      <c r="AC27" s="750"/>
      <c r="AD27" s="750"/>
      <c r="AE27" s="750"/>
      <c r="AF27" s="789"/>
    </row>
    <row r="28" spans="1:32" ht="25.5" customHeight="1" x14ac:dyDescent="0.25">
      <c r="A28" s="713" t="s">
        <v>982</v>
      </c>
      <c r="B28" s="714"/>
      <c r="C28" s="714"/>
      <c r="D28" s="714"/>
      <c r="E28" s="714"/>
      <c r="F28" s="714"/>
      <c r="G28" s="714"/>
      <c r="H28" s="714"/>
      <c r="I28" s="714"/>
      <c r="J28" s="714"/>
      <c r="K28" s="714"/>
      <c r="L28" s="714"/>
      <c r="M28" s="26"/>
      <c r="N28" s="26"/>
      <c r="O28" s="26"/>
      <c r="P28" s="26"/>
      <c r="Q28" s="26"/>
      <c r="R28" s="26"/>
      <c r="S28" s="26"/>
      <c r="T28" s="26"/>
      <c r="U28" s="772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1"/>
    </row>
    <row r="29" spans="1:32" ht="25.5" customHeight="1" x14ac:dyDescent="0.25">
      <c r="A29" s="713" t="s">
        <v>983</v>
      </c>
      <c r="B29" s="714"/>
      <c r="C29" s="714"/>
      <c r="D29" s="714"/>
      <c r="E29" s="714"/>
      <c r="F29" s="714"/>
      <c r="G29" s="714"/>
      <c r="H29" s="714"/>
      <c r="I29" s="714"/>
      <c r="J29" s="714"/>
      <c r="K29" s="714"/>
      <c r="L29" s="714"/>
      <c r="M29" s="26"/>
      <c r="N29" s="26"/>
      <c r="O29" s="26"/>
      <c r="P29" s="26"/>
      <c r="Q29" s="26"/>
      <c r="R29" s="26"/>
      <c r="S29" s="26"/>
      <c r="T29" s="26"/>
      <c r="U29" s="195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4"/>
    </row>
    <row r="30" spans="1:32" ht="22.2" customHeight="1" x14ac:dyDescent="0.25">
      <c r="A30" s="69" t="s">
        <v>984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26"/>
      <c r="N30" s="26"/>
      <c r="O30" s="26"/>
      <c r="P30" s="26"/>
      <c r="Q30" s="26"/>
      <c r="R30" s="26"/>
      <c r="S30" s="26"/>
      <c r="T30" s="26"/>
      <c r="U30" s="772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1"/>
    </row>
    <row r="31" spans="1:32" ht="25.5" customHeight="1" x14ac:dyDescent="0.25">
      <c r="A31" s="715" t="s">
        <v>185</v>
      </c>
      <c r="B31" s="716"/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716"/>
      <c r="AC31" s="716"/>
      <c r="AD31" s="716"/>
      <c r="AE31" s="716"/>
      <c r="AF31" s="717"/>
    </row>
    <row r="32" spans="1:32" ht="25.5" customHeight="1" x14ac:dyDescent="0.25">
      <c r="A32" s="133" t="s">
        <v>134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Z32" s="76"/>
      <c r="AA32" s="76"/>
      <c r="AB32" s="76"/>
      <c r="AD32" s="76"/>
      <c r="AE32" s="76"/>
      <c r="AF32" s="134"/>
    </row>
    <row r="33" spans="1:32" ht="18.75" customHeight="1" x14ac:dyDescent="0.25">
      <c r="A33" s="78" t="s">
        <v>382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670"/>
      <c r="M33" s="670"/>
      <c r="N33" s="670"/>
      <c r="O33" s="670"/>
      <c r="P33" s="670"/>
      <c r="Q33" s="670"/>
      <c r="R33" s="670"/>
      <c r="S33" s="670"/>
      <c r="T33" s="670"/>
      <c r="U33" s="79"/>
      <c r="V33" s="79" t="s">
        <v>144</v>
      </c>
      <c r="W33" s="79"/>
      <c r="X33" s="765"/>
      <c r="Y33" s="765"/>
      <c r="Z33" s="765"/>
      <c r="AA33" s="766"/>
      <c r="AB33" s="79"/>
      <c r="AC33" s="79"/>
      <c r="AD33" s="79"/>
      <c r="AE33" s="79"/>
      <c r="AF33" s="80"/>
    </row>
    <row r="34" spans="1:32" ht="20.25" customHeight="1" x14ac:dyDescent="0.3">
      <c r="A34" s="727" t="s">
        <v>379</v>
      </c>
      <c r="B34" s="660"/>
      <c r="C34" s="660"/>
      <c r="D34" s="660"/>
      <c r="E34" s="660"/>
      <c r="F34" s="660"/>
      <c r="G34" s="660"/>
      <c r="H34" s="660"/>
      <c r="I34" s="660"/>
      <c r="J34" s="660"/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5"/>
      <c r="W34" s="5"/>
      <c r="X34" s="775" t="s">
        <v>378</v>
      </c>
      <c r="Y34" s="775"/>
      <c r="Z34" s="775"/>
      <c r="AA34" s="775"/>
      <c r="AB34" s="775"/>
      <c r="AC34" s="747">
        <f>Bewertungspunkte</f>
        <v>0</v>
      </c>
      <c r="AD34" s="747"/>
      <c r="AE34" s="747"/>
      <c r="AF34" s="748"/>
    </row>
    <row r="35" spans="1:32" ht="20.25" customHeight="1" x14ac:dyDescent="0.25">
      <c r="A35" s="727" t="s">
        <v>38</v>
      </c>
      <c r="B35" s="660"/>
      <c r="C35" s="660"/>
      <c r="D35" s="660"/>
      <c r="E35" s="660"/>
      <c r="F35" s="660"/>
      <c r="G35" s="660"/>
      <c r="H35" s="660"/>
      <c r="I35" s="5"/>
      <c r="J35" s="737" t="str">
        <f>IF(BewertungBS=2, "Projekt kann empfohlen werden.",IF(BewertungBS=1,"Projekt kann nicht empfohlen werden.",IF(BewertungBS=3,"Projekt kann unter Vorbehalt empfohlen werden"," ")))</f>
        <v xml:space="preserve"> </v>
      </c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60"/>
      <c r="Y35" s="660"/>
      <c r="Z35" s="660"/>
      <c r="AA35" s="660"/>
      <c r="AB35" s="660"/>
      <c r="AC35" s="660"/>
      <c r="AD35" s="5"/>
      <c r="AE35" s="5"/>
      <c r="AF35" s="72"/>
    </row>
    <row r="36" spans="1:32" ht="63.75" customHeight="1" x14ac:dyDescent="0.25">
      <c r="A36" s="728" t="s">
        <v>692</v>
      </c>
      <c r="B36" s="729"/>
      <c r="C36" s="729"/>
      <c r="D36" s="729"/>
      <c r="E36" s="729"/>
      <c r="F36" s="729"/>
      <c r="G36" s="729"/>
      <c r="H36" s="729"/>
      <c r="I36" s="729"/>
      <c r="J36" s="729"/>
      <c r="K36" s="729"/>
      <c r="L36" s="729"/>
      <c r="M36" s="729"/>
      <c r="N36" s="729"/>
      <c r="O36" s="729"/>
      <c r="P36" s="729"/>
      <c r="Q36" s="729"/>
      <c r="R36" s="729"/>
      <c r="S36" s="729"/>
      <c r="T36" s="729"/>
      <c r="U36" s="729"/>
      <c r="V36" s="729"/>
      <c r="W36" s="729"/>
      <c r="X36" s="729"/>
      <c r="Y36" s="729"/>
      <c r="Z36" s="729"/>
      <c r="AA36" s="729"/>
      <c r="AB36" s="729"/>
      <c r="AC36" s="729"/>
      <c r="AD36" s="729"/>
      <c r="AE36" s="729"/>
      <c r="AF36" s="730"/>
    </row>
    <row r="37" spans="1:32" ht="17.25" customHeight="1" x14ac:dyDescent="0.25">
      <c r="A37" s="75" t="s">
        <v>183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18"/>
      <c r="Q37" s="718"/>
      <c r="R37" s="718"/>
      <c r="S37" s="718"/>
      <c r="T37" s="76"/>
      <c r="U37" s="76"/>
      <c r="V37" s="774"/>
      <c r="W37" s="774"/>
      <c r="X37" s="774"/>
      <c r="Y37" s="76"/>
      <c r="Z37" s="773"/>
      <c r="AA37" s="774"/>
      <c r="AB37" s="774"/>
      <c r="AC37" s="738" t="str">
        <f>IF(Prioauswahl=1,"Prio 1", IF(Prioauswahl=2, "Prio 0", IF(Prioauswahl=4, "Prio 1 unter Vorbehalt"," ")))</f>
        <v xml:space="preserve"> </v>
      </c>
      <c r="AD37" s="739"/>
      <c r="AE37" s="739"/>
      <c r="AF37" s="740"/>
    </row>
    <row r="38" spans="1:32" ht="18" customHeight="1" x14ac:dyDescent="0.25">
      <c r="A38" s="74" t="s">
        <v>184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AC38" s="741"/>
      <c r="AD38" s="741"/>
      <c r="AE38" s="741"/>
      <c r="AF38" s="742"/>
    </row>
    <row r="39" spans="1:32" ht="18" customHeight="1" x14ac:dyDescent="0.25">
      <c r="A39" s="74" t="s">
        <v>376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721" t="s">
        <v>160</v>
      </c>
      <c r="O39" s="721"/>
      <c r="P39" s="58"/>
      <c r="Q39" s="58"/>
      <c r="R39" s="58"/>
      <c r="S39" s="58"/>
      <c r="T39" s="58"/>
      <c r="U39" s="58"/>
      <c r="V39" s="58"/>
      <c r="W39" s="58"/>
      <c r="X39" s="58"/>
      <c r="Y39" s="59"/>
      <c r="AC39" s="743"/>
      <c r="AD39" s="743"/>
      <c r="AE39" s="743"/>
      <c r="AF39" s="744"/>
    </row>
    <row r="40" spans="1:32" ht="37.200000000000003" customHeight="1" x14ac:dyDescent="0.25">
      <c r="A40" s="751" t="s">
        <v>674</v>
      </c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78"/>
    </row>
    <row r="41" spans="1:32" ht="6" customHeight="1" x14ac:dyDescent="0.25">
      <c r="A41" s="752"/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78"/>
    </row>
    <row r="42" spans="1:32" ht="20.25" customHeight="1" x14ac:dyDescent="0.25">
      <c r="A42" s="75" t="s">
        <v>626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18"/>
      <c r="R42" s="718"/>
      <c r="S42" s="718"/>
      <c r="T42" s="718"/>
      <c r="U42" s="76"/>
      <c r="V42" s="76"/>
      <c r="W42" s="76"/>
      <c r="X42" s="76"/>
      <c r="Y42" s="77"/>
      <c r="Z42" s="77"/>
      <c r="AA42" s="77"/>
      <c r="AB42" s="26"/>
      <c r="AC42" s="756" t="str">
        <f>IF(Prio2auswahl=1,"Prio 0",IF(Prio2auswahl=2,"Prio 1"," "))</f>
        <v xml:space="preserve"> </v>
      </c>
      <c r="AD42" s="757"/>
      <c r="AE42" s="757"/>
      <c r="AF42" s="758"/>
    </row>
    <row r="43" spans="1:32" ht="45" customHeight="1" x14ac:dyDescent="0.25">
      <c r="A43" s="753" t="s">
        <v>600</v>
      </c>
      <c r="B43" s="503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4"/>
      <c r="V43" s="504"/>
      <c r="W43" s="504"/>
      <c r="X43" s="504"/>
      <c r="Y43" s="504"/>
      <c r="Z43" s="504"/>
      <c r="AA43" s="504"/>
      <c r="AB43" s="504"/>
      <c r="AC43" s="81"/>
      <c r="AD43" s="81"/>
      <c r="AE43" s="82"/>
      <c r="AF43" s="83"/>
    </row>
    <row r="44" spans="1:32" ht="18" customHeight="1" x14ac:dyDescent="0.25"/>
    <row r="45" spans="1:32" x14ac:dyDescent="0.25">
      <c r="A45" s="30" t="s">
        <v>132</v>
      </c>
      <c r="B45" s="30"/>
      <c r="C45" s="30"/>
      <c r="D45" s="30">
        <f>Tname</f>
        <v>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 t="s">
        <v>150</v>
      </c>
      <c r="U45" s="30"/>
      <c r="V45" s="768">
        <f>AnmeldeNummer</f>
        <v>0</v>
      </c>
      <c r="W45" s="768"/>
      <c r="X45" s="30"/>
      <c r="Y45" s="30"/>
      <c r="Z45" s="30"/>
      <c r="AA45" s="30"/>
      <c r="AB45" s="30"/>
      <c r="AC45" s="30"/>
      <c r="AD45" s="30"/>
      <c r="AE45" s="30"/>
      <c r="AF45" s="30"/>
    </row>
    <row r="46" spans="1:32" ht="4.5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6"/>
      <c r="W46" s="36"/>
      <c r="X46" s="30"/>
      <c r="Y46" s="30"/>
      <c r="Z46" s="30"/>
      <c r="AA46" s="30"/>
      <c r="AB46" s="30"/>
      <c r="AC46" s="30"/>
      <c r="AD46" s="30"/>
      <c r="AE46" s="30"/>
      <c r="AF46" s="30"/>
    </row>
    <row r="47" spans="1:32" ht="12.75" customHeight="1" x14ac:dyDescent="0.25">
      <c r="A47" s="4" t="s">
        <v>385</v>
      </c>
      <c r="L47" s="481" t="str">
        <f ca="1">IF(ISERROR(VLOOKUP(HSOB,Beraternamen,2,0)),"",VLOOKUP(HSOB,Beraternamen,2,0))</f>
        <v/>
      </c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771"/>
      <c r="Y47" s="771"/>
      <c r="Z47" s="771"/>
      <c r="AA47" s="745"/>
      <c r="AB47" s="734"/>
      <c r="AC47" s="735"/>
      <c r="AD47" s="732"/>
      <c r="AE47" s="733"/>
      <c r="AF47" s="733"/>
    </row>
    <row r="48" spans="1:32" ht="6.75" customHeight="1" x14ac:dyDescent="0.25">
      <c r="X48" s="771"/>
      <c r="Y48" s="771"/>
      <c r="Z48" s="771"/>
      <c r="AA48" s="745"/>
      <c r="AB48" s="735"/>
      <c r="AC48" s="735"/>
      <c r="AD48" s="733"/>
      <c r="AE48" s="733"/>
      <c r="AF48" s="733"/>
    </row>
    <row r="49" spans="1:33" ht="18" customHeight="1" x14ac:dyDescent="0.25">
      <c r="A49" s="4" t="s">
        <v>192</v>
      </c>
      <c r="J49" s="787"/>
      <c r="K49" s="787"/>
      <c r="L49" s="736"/>
      <c r="M49" s="786"/>
      <c r="N49" s="736"/>
      <c r="O49" s="736"/>
      <c r="P49" s="736"/>
      <c r="Q49" s="736"/>
      <c r="R49" s="736"/>
      <c r="S49" s="736"/>
      <c r="T49" s="57"/>
      <c r="V49" s="755"/>
      <c r="W49" s="755"/>
    </row>
    <row r="50" spans="1:33" ht="18" customHeight="1" x14ac:dyDescent="0.25">
      <c r="A50" s="63" t="s">
        <v>190</v>
      </c>
      <c r="B50" s="64"/>
      <c r="C50" s="64"/>
      <c r="D50" s="64"/>
      <c r="E50" s="64"/>
      <c r="F50" s="64"/>
      <c r="G50" s="64"/>
      <c r="H50" s="64"/>
      <c r="I50" s="62"/>
      <c r="J50" s="62"/>
      <c r="K50" s="62"/>
      <c r="L50" s="674" t="s">
        <v>199</v>
      </c>
      <c r="M50" s="674"/>
      <c r="N50" s="5"/>
      <c r="O50" s="759" t="s">
        <v>201</v>
      </c>
      <c r="P50" s="759"/>
      <c r="Q50" s="760"/>
      <c r="R50" s="749" t="s">
        <v>200</v>
      </c>
      <c r="S50" s="749"/>
      <c r="T50" s="750"/>
      <c r="U50" s="5"/>
      <c r="V50" s="5"/>
      <c r="W50" s="5"/>
      <c r="X50" s="5"/>
      <c r="Y50" s="5"/>
      <c r="Z50" s="5"/>
      <c r="AA50" s="5"/>
      <c r="AB50" s="5"/>
      <c r="AC50" s="5"/>
      <c r="AD50" s="737" t="s">
        <v>162</v>
      </c>
      <c r="AE50" s="737"/>
      <c r="AF50" s="785"/>
    </row>
    <row r="51" spans="1:33" s="31" customFormat="1" ht="24.75" customHeight="1" x14ac:dyDescent="0.25">
      <c r="A51" s="668" t="s">
        <v>746</v>
      </c>
      <c r="B51" s="436"/>
      <c r="C51" s="436"/>
      <c r="D51" s="436"/>
      <c r="E51" s="436"/>
      <c r="F51" s="436"/>
      <c r="G51" s="436"/>
      <c r="H51" s="436"/>
      <c r="I51" s="436"/>
      <c r="J51" s="436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725" t="str">
        <f>DOKU_Verk!B8</f>
        <v/>
      </c>
      <c r="V51" s="725"/>
      <c r="W51" s="725"/>
      <c r="X51" s="725"/>
      <c r="Y51" s="725"/>
      <c r="Z51" s="725"/>
      <c r="AA51" s="725"/>
      <c r="AB51" s="725"/>
      <c r="AC51" s="767"/>
      <c r="AD51" s="687">
        <f>DOKU_Verk!A16</f>
        <v>0</v>
      </c>
      <c r="AE51" s="688"/>
      <c r="AF51" s="689"/>
      <c r="AG51" s="136"/>
    </row>
    <row r="52" spans="1:33" s="31" customFormat="1" ht="32.25" customHeight="1" x14ac:dyDescent="0.25">
      <c r="A52" s="668" t="s">
        <v>848</v>
      </c>
      <c r="B52" s="436"/>
      <c r="C52" s="436"/>
      <c r="D52" s="436"/>
      <c r="E52" s="436"/>
      <c r="F52" s="436"/>
      <c r="G52" s="436"/>
      <c r="H52" s="436"/>
      <c r="I52" s="436"/>
      <c r="J52" s="436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725" t="str">
        <f>DOKU_Verk!D8</f>
        <v/>
      </c>
      <c r="V52" s="436"/>
      <c r="W52" s="436"/>
      <c r="X52" s="436"/>
      <c r="Y52" s="436"/>
      <c r="Z52" s="436"/>
      <c r="AA52" s="436"/>
      <c r="AB52" s="436"/>
      <c r="AC52" s="436"/>
      <c r="AD52" s="687">
        <f>DOKU_Verk!B16</f>
        <v>0</v>
      </c>
      <c r="AE52" s="688"/>
      <c r="AF52" s="689"/>
      <c r="AG52" s="136"/>
    </row>
    <row r="53" spans="1:33" s="31" customFormat="1" ht="29.25" customHeight="1" x14ac:dyDescent="0.25">
      <c r="A53" s="668" t="s">
        <v>756</v>
      </c>
      <c r="B53" s="436"/>
      <c r="C53" s="436"/>
      <c r="D53" s="436"/>
      <c r="E53" s="436"/>
      <c r="F53" s="436"/>
      <c r="G53" s="436"/>
      <c r="H53" s="436"/>
      <c r="I53" s="436"/>
      <c r="J53" s="436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725" t="str">
        <f>DOKU_Verk!F8</f>
        <v/>
      </c>
      <c r="V53" s="436"/>
      <c r="W53" s="436"/>
      <c r="X53" s="436"/>
      <c r="Y53" s="436"/>
      <c r="Z53" s="436"/>
      <c r="AA53" s="436"/>
      <c r="AB53" s="436"/>
      <c r="AC53" s="436"/>
      <c r="AD53" s="687">
        <f>DOKU_Verk!C16</f>
        <v>0</v>
      </c>
      <c r="AE53" s="688"/>
      <c r="AF53" s="689"/>
      <c r="AG53" s="136"/>
    </row>
    <row r="54" spans="1:33" s="31" customFormat="1" ht="28.5" customHeight="1" x14ac:dyDescent="0.25">
      <c r="A54" s="668" t="s">
        <v>749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725" t="str">
        <f>DOKU_Verk!H8</f>
        <v/>
      </c>
      <c r="V54" s="436"/>
      <c r="W54" s="436"/>
      <c r="X54" s="436"/>
      <c r="Y54" s="436"/>
      <c r="Z54" s="436"/>
      <c r="AA54" s="436"/>
      <c r="AB54" s="436"/>
      <c r="AC54" s="436"/>
      <c r="AD54" s="687">
        <f>DOKU_Verk!D16</f>
        <v>0</v>
      </c>
      <c r="AE54" s="688"/>
      <c r="AF54" s="689"/>
      <c r="AG54" s="136"/>
    </row>
    <row r="55" spans="1:33" s="31" customFormat="1" ht="26.25" customHeight="1" x14ac:dyDescent="0.25">
      <c r="A55" s="668" t="s">
        <v>824</v>
      </c>
      <c r="B55" s="436"/>
      <c r="C55" s="436"/>
      <c r="D55" s="436"/>
      <c r="E55" s="436"/>
      <c r="F55" s="436"/>
      <c r="G55" s="436"/>
      <c r="H55" s="436"/>
      <c r="I55" s="436"/>
      <c r="J55" s="436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725" t="str">
        <f>DOKU_Verk!J8</f>
        <v/>
      </c>
      <c r="V55" s="436"/>
      <c r="W55" s="436"/>
      <c r="X55" s="436"/>
      <c r="Y55" s="436"/>
      <c r="Z55" s="436"/>
      <c r="AA55" s="436"/>
      <c r="AB55" s="436"/>
      <c r="AC55" s="436"/>
      <c r="AD55" s="687">
        <f>DOKU_Verk!E16</f>
        <v>0</v>
      </c>
      <c r="AE55" s="688"/>
      <c r="AF55" s="689"/>
      <c r="AG55" s="136"/>
    </row>
    <row r="56" spans="1:33" s="31" customFormat="1" ht="19.5" customHeight="1" x14ac:dyDescent="0.25">
      <c r="A56" s="86"/>
      <c r="B56" s="85"/>
      <c r="C56" s="85"/>
      <c r="D56" s="85"/>
      <c r="E56" s="85"/>
      <c r="F56" s="85"/>
      <c r="G56" s="85"/>
      <c r="H56" s="85"/>
      <c r="I56" s="85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87"/>
      <c r="V56" s="85"/>
      <c r="W56" s="85"/>
      <c r="X56" s="85"/>
      <c r="Y56" s="754" t="s">
        <v>36</v>
      </c>
      <c r="Z56" s="754"/>
      <c r="AA56" s="754"/>
      <c r="AB56" s="754"/>
      <c r="AC56" s="88"/>
      <c r="AD56" s="663">
        <f>SUM(AD51:AF55)</f>
        <v>0</v>
      </c>
      <c r="AE56" s="664"/>
      <c r="AF56" s="665"/>
      <c r="AG56" s="136"/>
    </row>
    <row r="57" spans="1:33" s="31" customFormat="1" ht="40.5" customHeight="1" x14ac:dyDescent="0.25">
      <c r="A57" s="91" t="s">
        <v>189</v>
      </c>
      <c r="B57" s="92"/>
      <c r="C57" s="92"/>
      <c r="D57" s="92"/>
      <c r="E57" s="92"/>
      <c r="F57" s="92"/>
      <c r="G57" s="92"/>
      <c r="H57" s="93"/>
      <c r="I57" s="93"/>
      <c r="J57" s="93"/>
      <c r="K57" s="93"/>
      <c r="L57" s="93"/>
      <c r="M57" s="93"/>
      <c r="N57" s="93"/>
      <c r="O57" s="693" t="s">
        <v>601</v>
      </c>
      <c r="P57" s="507"/>
      <c r="Q57" s="507"/>
      <c r="R57" s="507"/>
      <c r="S57" s="507"/>
      <c r="T57" s="507"/>
      <c r="U57" s="507"/>
      <c r="V57" s="507"/>
      <c r="W57" s="507"/>
      <c r="X57" s="507"/>
      <c r="Y57" s="507"/>
      <c r="Z57" s="507"/>
      <c r="AA57" s="507"/>
      <c r="AB57" s="507"/>
      <c r="AC57" s="507"/>
      <c r="AD57" s="687">
        <f>DOKU_Verk!J16</f>
        <v>0</v>
      </c>
      <c r="AE57" s="746"/>
      <c r="AF57" s="689"/>
      <c r="AG57" s="136"/>
    </row>
    <row r="58" spans="1:33" s="31" customFormat="1" ht="27.75" customHeight="1" x14ac:dyDescent="0.25">
      <c r="A58" s="731"/>
      <c r="B58" s="433"/>
      <c r="C58" s="433"/>
      <c r="D58" s="433"/>
      <c r="E58" s="433"/>
      <c r="F58" s="433"/>
      <c r="G58" s="433"/>
      <c r="H58" s="79"/>
      <c r="I58" s="79"/>
      <c r="J58" s="79"/>
      <c r="K58" s="79"/>
      <c r="L58" s="79"/>
      <c r="M58" s="79"/>
      <c r="N58" s="79"/>
      <c r="O58" s="89"/>
      <c r="P58" s="90"/>
      <c r="Q58" s="90"/>
      <c r="R58" s="90"/>
      <c r="S58" s="90"/>
      <c r="T58" s="90"/>
      <c r="U58" s="90"/>
      <c r="V58" s="726" t="s">
        <v>37</v>
      </c>
      <c r="W58" s="726"/>
      <c r="X58" s="726"/>
      <c r="Y58" s="726"/>
      <c r="Z58" s="726"/>
      <c r="AA58" s="726"/>
      <c r="AB58" s="726"/>
      <c r="AC58" s="90"/>
      <c r="AD58" s="722">
        <f>SUM(AD56:AF57)</f>
        <v>0</v>
      </c>
      <c r="AE58" s="723"/>
      <c r="AF58" s="724"/>
      <c r="AG58" s="136"/>
    </row>
    <row r="59" spans="1:33" s="31" customFormat="1" ht="54.75" customHeight="1" x14ac:dyDescent="0.25">
      <c r="A59" s="683" t="s">
        <v>602</v>
      </c>
      <c r="B59" s="684"/>
      <c r="C59" s="684"/>
      <c r="D59" s="684"/>
      <c r="E59" s="684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4"/>
      <c r="Y59" s="684"/>
      <c r="Z59" s="684"/>
      <c r="AA59" s="684"/>
      <c r="AB59" s="684"/>
      <c r="AC59" s="684"/>
      <c r="AD59" s="684"/>
      <c r="AE59" s="684"/>
      <c r="AF59" s="685"/>
      <c r="AG59" s="136"/>
    </row>
    <row r="60" spans="1:33" ht="30.75" customHeight="1" x14ac:dyDescent="0.25">
      <c r="A60" s="168" t="s">
        <v>135</v>
      </c>
      <c r="B60" s="31"/>
      <c r="C60" s="31"/>
      <c r="D60" s="31"/>
      <c r="E60" s="31"/>
      <c r="F60" s="31"/>
      <c r="G60" s="31"/>
      <c r="H60" s="190" t="s">
        <v>172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679"/>
      <c r="W60" s="679"/>
      <c r="X60" s="31"/>
      <c r="Y60" s="31"/>
      <c r="Z60" s="31"/>
      <c r="AA60" s="31"/>
      <c r="AB60" s="31"/>
      <c r="AC60" s="31"/>
      <c r="AD60" s="31"/>
      <c r="AE60" s="31"/>
      <c r="AF60" s="169"/>
    </row>
    <row r="61" spans="1:33" ht="9" customHeight="1" x14ac:dyDescent="0.25"/>
    <row r="62" spans="1:33" x14ac:dyDescent="0.25">
      <c r="A62" s="35" t="s">
        <v>381</v>
      </c>
      <c r="B62" s="5"/>
      <c r="C62" s="5"/>
      <c r="D62" s="5"/>
      <c r="E62" s="5"/>
      <c r="F62" s="5"/>
      <c r="G62" s="72"/>
      <c r="H62" s="690" t="s">
        <v>156</v>
      </c>
      <c r="I62" s="691"/>
      <c r="J62" s="691"/>
      <c r="K62" s="691"/>
      <c r="L62" s="691"/>
      <c r="M62" s="691"/>
      <c r="N62" s="691"/>
      <c r="O62" s="691"/>
      <c r="P62" s="691"/>
      <c r="Q62" s="691"/>
      <c r="R62" s="691"/>
      <c r="S62" s="691"/>
      <c r="T62" s="691"/>
      <c r="U62" s="691"/>
      <c r="V62" s="691"/>
      <c r="W62" s="691"/>
      <c r="X62" s="691"/>
      <c r="Y62" s="691"/>
      <c r="Z62" s="691"/>
      <c r="AA62" s="691"/>
      <c r="AB62" s="691"/>
      <c r="AC62" s="691"/>
      <c r="AD62" s="691"/>
      <c r="AE62" s="691"/>
      <c r="AF62" s="692"/>
    </row>
    <row r="63" spans="1:33" x14ac:dyDescent="0.25">
      <c r="A63" s="34" t="s">
        <v>155</v>
      </c>
      <c r="B63" s="5"/>
      <c r="C63" s="5"/>
      <c r="D63" s="5"/>
      <c r="E63" s="5"/>
      <c r="F63" s="5"/>
      <c r="G63" s="680">
        <f>kostges</f>
        <v>0</v>
      </c>
      <c r="H63" s="680"/>
      <c r="I63" s="680"/>
      <c r="J63" s="694"/>
      <c r="K63" s="38"/>
      <c r="L63" s="38"/>
      <c r="M63" s="38" t="s">
        <v>157</v>
      </c>
      <c r="N63" s="38"/>
      <c r="O63" s="38"/>
      <c r="P63" s="38"/>
      <c r="Q63" s="680">
        <f>kostges/Laufzeit</f>
        <v>0</v>
      </c>
      <c r="R63" s="681"/>
      <c r="S63" s="682"/>
      <c r="T63" s="38"/>
      <c r="U63" s="38" t="s">
        <v>158</v>
      </c>
      <c r="V63" s="38"/>
      <c r="W63" s="680" t="str">
        <f>IF(kostges=0,"",SUM(kostges/TNanz))</f>
        <v/>
      </c>
      <c r="X63" s="681"/>
      <c r="Y63" s="682"/>
      <c r="Z63" s="38"/>
      <c r="AA63" s="38" t="s">
        <v>159</v>
      </c>
      <c r="AB63" s="38"/>
      <c r="AC63" s="38"/>
      <c r="AD63" s="680" t="str">
        <f>IF(kostges=0,"",SUM(kostges/TNpl/Laufzeit))</f>
        <v/>
      </c>
      <c r="AE63" s="680"/>
      <c r="AF63" s="694"/>
    </row>
    <row r="64" spans="1:33" x14ac:dyDescent="0.25">
      <c r="A64" s="149" t="s">
        <v>906</v>
      </c>
      <c r="B64" s="5"/>
      <c r="C64" s="5"/>
      <c r="D64" s="5"/>
      <c r="E64" s="5"/>
      <c r="F64" s="5"/>
      <c r="G64" s="680">
        <f>esfges</f>
        <v>0</v>
      </c>
      <c r="H64" s="681"/>
      <c r="I64" s="681"/>
      <c r="J64" s="682"/>
      <c r="K64" s="38"/>
      <c r="L64" s="38"/>
      <c r="M64" s="38" t="s">
        <v>157</v>
      </c>
      <c r="N64" s="38"/>
      <c r="O64" s="38"/>
      <c r="P64" s="38"/>
      <c r="Q64" s="680">
        <f>esfges/Laufzeit</f>
        <v>0</v>
      </c>
      <c r="R64" s="681"/>
      <c r="S64" s="682"/>
      <c r="T64" s="38"/>
      <c r="U64" s="38" t="s">
        <v>158</v>
      </c>
      <c r="V64" s="38"/>
      <c r="W64" s="677" t="str">
        <f>IF(esfges=0,"",SUM(esfges/TNanz))</f>
        <v/>
      </c>
      <c r="X64" s="677"/>
      <c r="Y64" s="678"/>
      <c r="Z64" s="182"/>
      <c r="AA64" s="38" t="s">
        <v>159</v>
      </c>
      <c r="AB64" s="38"/>
      <c r="AC64" s="38"/>
      <c r="AD64" s="680" t="str">
        <f>IF(esfges=0,"",SUM(esfges/TNpl/Laufzeit))</f>
        <v/>
      </c>
      <c r="AE64" s="680"/>
      <c r="AF64" s="694"/>
    </row>
    <row r="65" spans="1:32" x14ac:dyDescent="0.25">
      <c r="A65" s="149" t="s">
        <v>734</v>
      </c>
      <c r="B65" s="5"/>
      <c r="C65" s="5"/>
      <c r="D65" s="5"/>
      <c r="E65" s="5"/>
      <c r="F65" s="5"/>
      <c r="G65" s="680">
        <f>aktivkofi</f>
        <v>0</v>
      </c>
      <c r="H65" s="681"/>
      <c r="I65" s="681"/>
      <c r="J65" s="682"/>
      <c r="K65" s="38"/>
      <c r="L65" s="38"/>
      <c r="M65" s="38" t="s">
        <v>157</v>
      </c>
      <c r="N65" s="38"/>
      <c r="O65" s="38"/>
      <c r="P65" s="38"/>
      <c r="Q65" s="680">
        <f>aktivkofi/Laufzeit</f>
        <v>0</v>
      </c>
      <c r="R65" s="681"/>
      <c r="S65" s="682"/>
      <c r="T65" s="38"/>
      <c r="U65" s="38" t="s">
        <v>158</v>
      </c>
      <c r="V65" s="38"/>
      <c r="W65" s="677" t="str">
        <f>IF(aktivkofi=0,"",SUM(aktivkofi/TNanz))</f>
        <v/>
      </c>
      <c r="X65" s="677"/>
      <c r="Y65" s="678"/>
      <c r="Z65" s="182"/>
      <c r="AA65" s="38" t="s">
        <v>159</v>
      </c>
      <c r="AB65" s="38"/>
      <c r="AC65" s="38"/>
      <c r="AD65" s="680" t="str">
        <f>IF(aktivkofi=0,"",SUM(aktivkofi/TNpl/Laufzeit))</f>
        <v/>
      </c>
      <c r="AE65" s="680"/>
      <c r="AF65" s="694"/>
    </row>
    <row r="66" spans="1:32" ht="12" customHeight="1" x14ac:dyDescent="0.25">
      <c r="A66" s="149" t="s">
        <v>735</v>
      </c>
      <c r="B66" s="5"/>
      <c r="C66" s="5"/>
      <c r="D66" s="5"/>
      <c r="E66" s="5"/>
      <c r="F66" s="5"/>
      <c r="G66" s="680">
        <f>entgeltTNges</f>
        <v>0</v>
      </c>
      <c r="H66" s="681"/>
      <c r="I66" s="681"/>
      <c r="J66" s="682"/>
      <c r="K66" s="38"/>
      <c r="L66" s="38"/>
      <c r="M66" s="38" t="s">
        <v>157</v>
      </c>
      <c r="N66" s="38"/>
      <c r="O66" s="38"/>
      <c r="P66" s="38"/>
      <c r="Q66" s="680">
        <f>entgeltTNges/Laufzeit</f>
        <v>0</v>
      </c>
      <c r="R66" s="681"/>
      <c r="S66" s="682"/>
      <c r="T66" s="38"/>
      <c r="U66" s="38" t="s">
        <v>158</v>
      </c>
      <c r="V66" s="38"/>
      <c r="W66" s="677" t="str">
        <f>IF(entgeltTNges=0,"",SUM(entgeltTNges/TNanz))</f>
        <v/>
      </c>
      <c r="X66" s="677"/>
      <c r="Y66" s="678"/>
      <c r="Z66" s="182"/>
      <c r="AA66" s="38" t="s">
        <v>159</v>
      </c>
      <c r="AB66" s="38"/>
      <c r="AC66" s="38"/>
      <c r="AD66" s="680" t="str">
        <f>IF(entgeltTNges=0,"",SUM(entgeltTNges/TNpl/Laufzeit))</f>
        <v/>
      </c>
      <c r="AE66" s="680"/>
      <c r="AF66" s="694"/>
    </row>
    <row r="67" spans="1:32" ht="17.25" customHeight="1" x14ac:dyDescent="0.25">
      <c r="A67" s="37" t="s">
        <v>178</v>
      </c>
      <c r="H67" s="57" t="s">
        <v>179</v>
      </c>
      <c r="I67" s="57"/>
      <c r="J67" s="57"/>
      <c r="K67" s="695">
        <v>2024</v>
      </c>
      <c r="L67" s="517"/>
      <c r="M67" s="517"/>
      <c r="N67" s="517"/>
      <c r="O67" s="57"/>
      <c r="P67" s="696">
        <v>2025</v>
      </c>
      <c r="Q67" s="660"/>
      <c r="R67" s="660"/>
      <c r="S67" s="660"/>
      <c r="T67" s="57"/>
      <c r="U67" s="695">
        <v>2026</v>
      </c>
      <c r="V67" s="517"/>
      <c r="W67" s="517"/>
      <c r="X67" s="183"/>
      <c r="Y67" s="695"/>
      <c r="Z67" s="517"/>
      <c r="AA67" s="517"/>
      <c r="AB67" s="139"/>
      <c r="AC67" s="57"/>
      <c r="AD67" s="57"/>
      <c r="AE67" s="57"/>
      <c r="AF67" s="151"/>
    </row>
    <row r="68" spans="1:32" ht="18" customHeight="1" x14ac:dyDescent="0.25">
      <c r="A68" s="186" t="s">
        <v>740</v>
      </c>
      <c r="E68" s="686">
        <f>kostges</f>
        <v>0</v>
      </c>
      <c r="F68" s="649"/>
      <c r="G68" s="649"/>
      <c r="H68" s="649"/>
      <c r="I68" s="649"/>
      <c r="J68" s="185"/>
      <c r="K68" s="662">
        <f>Kost1jahr</f>
        <v>0</v>
      </c>
      <c r="L68" s="669"/>
      <c r="M68" s="669"/>
      <c r="N68" s="669"/>
      <c r="P68" s="662">
        <f>Kost2jahr</f>
        <v>0</v>
      </c>
      <c r="Q68" s="649"/>
      <c r="R68" s="649"/>
      <c r="S68" s="649"/>
      <c r="T68" s="185"/>
      <c r="U68" s="662">
        <f>Kost3jahr</f>
        <v>0</v>
      </c>
      <c r="V68" s="649"/>
      <c r="W68" s="649"/>
      <c r="X68" s="185"/>
      <c r="Y68" s="707"/>
      <c r="Z68" s="481"/>
      <c r="AA68" s="481"/>
      <c r="AC68" s="825" t="s">
        <v>736</v>
      </c>
      <c r="AD68" s="712"/>
      <c r="AE68" s="712"/>
      <c r="AF68" s="152"/>
    </row>
    <row r="69" spans="1:32" x14ac:dyDescent="0.25">
      <c r="A69" s="186" t="s">
        <v>906</v>
      </c>
      <c r="E69" s="662">
        <f>esfges</f>
        <v>0</v>
      </c>
      <c r="F69" s="649"/>
      <c r="G69" s="649"/>
      <c r="H69" s="649"/>
      <c r="I69" s="649"/>
      <c r="J69" s="185"/>
      <c r="K69" s="662">
        <f>esf1jahr</f>
        <v>0</v>
      </c>
      <c r="L69" s="669"/>
      <c r="M69" s="669"/>
      <c r="N69" s="669"/>
      <c r="O69" s="185"/>
      <c r="P69" s="662">
        <f>esf2jahr</f>
        <v>0</v>
      </c>
      <c r="Q69" s="649"/>
      <c r="R69" s="649"/>
      <c r="S69" s="649"/>
      <c r="T69" s="185"/>
      <c r="U69" s="662">
        <f>esf3jahr</f>
        <v>0</v>
      </c>
      <c r="V69" s="649"/>
      <c r="W69" s="649"/>
      <c r="X69" s="185"/>
      <c r="Y69" s="707"/>
      <c r="Z69" s="481"/>
      <c r="AA69" s="481"/>
      <c r="AC69" s="711" t="str">
        <f>IF(esfges=0,"",SUM(esfges/kostges))</f>
        <v/>
      </c>
      <c r="AD69" s="712"/>
      <c r="AE69" s="712"/>
      <c r="AF69" s="152"/>
    </row>
    <row r="70" spans="1:32" x14ac:dyDescent="0.25">
      <c r="A70" s="186" t="s">
        <v>872</v>
      </c>
      <c r="E70" s="662">
        <f>mastdges</f>
        <v>0</v>
      </c>
      <c r="F70" s="649"/>
      <c r="G70" s="649"/>
      <c r="H70" s="649"/>
      <c r="I70" s="649"/>
      <c r="J70" s="185"/>
      <c r="K70" s="662">
        <f>mastd1jahr</f>
        <v>0</v>
      </c>
      <c r="L70" s="669"/>
      <c r="M70" s="669"/>
      <c r="N70" s="669"/>
      <c r="O70" s="185"/>
      <c r="P70" s="662">
        <f>mastd2jahr</f>
        <v>0</v>
      </c>
      <c r="Q70" s="649"/>
      <c r="R70" s="649"/>
      <c r="S70" s="649"/>
      <c r="T70" s="185"/>
      <c r="U70" s="662">
        <f>mastd3jahr</f>
        <v>0</v>
      </c>
      <c r="V70" s="649"/>
      <c r="W70" s="649"/>
      <c r="X70" s="185"/>
      <c r="Y70" s="707"/>
      <c r="Z70" s="481"/>
      <c r="AA70" s="481"/>
      <c r="AC70" s="711" t="str">
        <f>IF(mastdges=0,"",SUM(mastdges/kostges))</f>
        <v/>
      </c>
      <c r="AD70" s="712"/>
      <c r="AE70" s="712"/>
      <c r="AF70" s="152"/>
    </row>
    <row r="71" spans="1:32" x14ac:dyDescent="0.25">
      <c r="A71" s="186" t="s">
        <v>915</v>
      </c>
      <c r="E71" s="662">
        <f>mbges</f>
        <v>0</v>
      </c>
      <c r="F71" s="649"/>
      <c r="G71" s="649"/>
      <c r="H71" s="649"/>
      <c r="I71" s="649"/>
      <c r="J71" s="185"/>
      <c r="K71" s="662">
        <f>mb1jahr</f>
        <v>0</v>
      </c>
      <c r="L71" s="669"/>
      <c r="M71" s="669"/>
      <c r="N71" s="669"/>
      <c r="O71" s="185"/>
      <c r="P71" s="662">
        <f>mb2jahr</f>
        <v>0</v>
      </c>
      <c r="Q71" s="649"/>
      <c r="R71" s="649"/>
      <c r="S71" s="649"/>
      <c r="T71" s="185"/>
      <c r="U71" s="662">
        <f>mb3jahr</f>
        <v>0</v>
      </c>
      <c r="V71" s="649"/>
      <c r="W71" s="649"/>
      <c r="X71" s="185"/>
      <c r="Y71" s="707"/>
      <c r="Z71" s="481"/>
      <c r="AA71" s="481"/>
      <c r="AC71" s="711" t="str">
        <f>IF(mbges=0,"",SUM(mbges/kostges))</f>
        <v/>
      </c>
      <c r="AD71" s="712"/>
      <c r="AE71" s="712"/>
      <c r="AF71" s="152"/>
    </row>
    <row r="72" spans="1:32" ht="15" customHeight="1" x14ac:dyDescent="0.25">
      <c r="A72" s="186" t="s">
        <v>870</v>
      </c>
      <c r="E72" s="662">
        <f>mffkiges</f>
        <v>0</v>
      </c>
      <c r="F72" s="649"/>
      <c r="G72" s="649"/>
      <c r="H72" s="649"/>
      <c r="I72" s="649"/>
      <c r="J72" s="185"/>
      <c r="K72" s="662">
        <f>mffki1jahr</f>
        <v>0</v>
      </c>
      <c r="L72" s="669"/>
      <c r="M72" s="669"/>
      <c r="N72" s="669"/>
      <c r="O72" s="185"/>
      <c r="P72" s="686">
        <f>mffki2jahr</f>
        <v>0</v>
      </c>
      <c r="Q72" s="649"/>
      <c r="R72" s="649"/>
      <c r="S72" s="649"/>
      <c r="T72" s="185"/>
      <c r="U72" s="686">
        <f>mffki3jahr</f>
        <v>0</v>
      </c>
      <c r="V72" s="649"/>
      <c r="W72" s="649"/>
      <c r="X72" s="184"/>
      <c r="Y72" s="703"/>
      <c r="Z72" s="481"/>
      <c r="AA72" s="481"/>
      <c r="AC72" s="711" t="str">
        <f>IF(mffkiges=0,"",SUM(mffkiges/kostges))</f>
        <v/>
      </c>
      <c r="AD72" s="712"/>
      <c r="AE72" s="712"/>
      <c r="AF72" s="152"/>
    </row>
    <row r="73" spans="1:32" ht="15" customHeight="1" x14ac:dyDescent="0.25">
      <c r="A73" s="186" t="s">
        <v>871</v>
      </c>
      <c r="E73" s="662">
        <f>mwgges</f>
        <v>0</v>
      </c>
      <c r="F73" s="649"/>
      <c r="G73" s="649"/>
      <c r="H73" s="649"/>
      <c r="I73" s="649"/>
      <c r="J73" s="185"/>
      <c r="K73" s="662">
        <f>mwg1jahr</f>
        <v>0</v>
      </c>
      <c r="L73" s="669"/>
      <c r="M73" s="669"/>
      <c r="N73" s="669"/>
      <c r="O73" s="185"/>
      <c r="P73" s="686">
        <f>mwg2jahr</f>
        <v>0</v>
      </c>
      <c r="Q73" s="649"/>
      <c r="R73" s="649"/>
      <c r="S73" s="649"/>
      <c r="T73" s="185"/>
      <c r="U73" s="686">
        <f>mwg3jahr</f>
        <v>0</v>
      </c>
      <c r="V73" s="649"/>
      <c r="W73" s="649"/>
      <c r="X73" s="184"/>
      <c r="Y73" s="703"/>
      <c r="Z73" s="481"/>
      <c r="AA73" s="481"/>
      <c r="AC73" s="711" t="str">
        <f>IF(mwgges=0,"",SUM(mwgges/kostges))</f>
        <v/>
      </c>
      <c r="AD73" s="712"/>
      <c r="AE73" s="712"/>
      <c r="AF73" s="152"/>
    </row>
    <row r="74" spans="1:32" x14ac:dyDescent="0.25">
      <c r="A74" s="186" t="s">
        <v>728</v>
      </c>
      <c r="E74" s="704">
        <f>SUM(kostges-esfges-mastdges-mbges-mffkiges-mwgges)</f>
        <v>0</v>
      </c>
      <c r="F74" s="705"/>
      <c r="G74" s="705"/>
      <c r="H74" s="705"/>
      <c r="I74" s="706"/>
      <c r="J74" s="185"/>
      <c r="K74" s="704">
        <f>SUM(K68)-SUM(K69:N73 )</f>
        <v>0</v>
      </c>
      <c r="L74" s="705"/>
      <c r="M74" s="705"/>
      <c r="N74" s="706"/>
      <c r="O74" s="185"/>
      <c r="P74" s="704">
        <f>SUM(P68)-SUM(P69:S73 )</f>
        <v>0</v>
      </c>
      <c r="Q74" s="705"/>
      <c r="R74" s="705"/>
      <c r="S74" s="706"/>
      <c r="T74" s="185"/>
      <c r="U74" s="704">
        <f>SUM(U68)-SUM(U69:W73 )</f>
        <v>0</v>
      </c>
      <c r="V74" s="705"/>
      <c r="W74" s="706"/>
      <c r="X74" s="185"/>
      <c r="Y74" s="707"/>
      <c r="Z74" s="707"/>
      <c r="AA74" s="707"/>
      <c r="AC74" s="708" t="str">
        <f>IF(E74=0,"",SUM(E74/kostges))</f>
        <v/>
      </c>
      <c r="AD74" s="709"/>
      <c r="AE74" s="710"/>
      <c r="AF74" s="152"/>
    </row>
    <row r="75" spans="1:32" ht="33.75" customHeight="1" x14ac:dyDescent="0.25">
      <c r="A75" s="822" t="s">
        <v>738</v>
      </c>
      <c r="B75" s="823"/>
      <c r="C75" s="823"/>
      <c r="D75" s="823"/>
      <c r="E75" s="823"/>
      <c r="H75" s="187" t="s">
        <v>739</v>
      </c>
      <c r="I75" s="187"/>
      <c r="J75" s="187"/>
      <c r="K75" s="187"/>
      <c r="L75" s="187"/>
      <c r="M75" s="824" t="s">
        <v>689</v>
      </c>
      <c r="N75" s="824"/>
      <c r="O75" s="824"/>
      <c r="P75" s="824"/>
      <c r="R75" s="824" t="s">
        <v>926</v>
      </c>
      <c r="S75" s="824"/>
      <c r="T75" s="824"/>
      <c r="U75" s="824"/>
      <c r="W75" s="150"/>
      <c r="X75" s="150"/>
      <c r="Y75" s="150"/>
      <c r="Z75" s="150"/>
      <c r="AF75" s="28"/>
    </row>
    <row r="76" spans="1:32" x14ac:dyDescent="0.25">
      <c r="A76" s="822"/>
      <c r="B76" s="823"/>
      <c r="C76" s="823"/>
      <c r="D76" s="823"/>
      <c r="E76" s="823"/>
      <c r="H76" s="700">
        <f>kostges-entgeltTNges</f>
        <v>0</v>
      </c>
      <c r="I76" s="701"/>
      <c r="J76" s="701"/>
      <c r="K76" s="702"/>
      <c r="M76" s="700">
        <f>aktivkofi</f>
        <v>0</v>
      </c>
      <c r="N76" s="701"/>
      <c r="O76" s="701"/>
      <c r="P76" s="702"/>
      <c r="R76" s="700">
        <f>esfges</f>
        <v>0</v>
      </c>
      <c r="S76" s="701"/>
      <c r="T76" s="701"/>
      <c r="U76" s="702"/>
      <c r="W76" s="820"/>
      <c r="X76" s="820"/>
      <c r="Y76" s="181"/>
      <c r="Z76" s="181"/>
      <c r="AF76" s="28"/>
    </row>
    <row r="77" spans="1:32" ht="12" customHeight="1" x14ac:dyDescent="0.25">
      <c r="A77" s="116"/>
      <c r="B77" s="2"/>
      <c r="C77" s="2"/>
      <c r="D77" s="2"/>
      <c r="E77" s="2"/>
      <c r="H77" s="181"/>
      <c r="M77" s="697" t="str">
        <f>IF(aktivkofi=0,"",SUM(aktivkofi/(kostges-entgeltTNges)))</f>
        <v/>
      </c>
      <c r="N77" s="698"/>
      <c r="O77" s="698"/>
      <c r="P77" s="699"/>
      <c r="R77" s="697" t="str">
        <f>IF(esfges=0,"",SUM(esfges/(kostges-entgeltTNges)))</f>
        <v/>
      </c>
      <c r="S77" s="698"/>
      <c r="T77" s="698"/>
      <c r="U77" s="699"/>
      <c r="W77" s="821"/>
      <c r="X77" s="821"/>
      <c r="AF77" s="28"/>
    </row>
    <row r="78" spans="1:32" ht="12.75" hidden="1" customHeight="1" x14ac:dyDescent="0.25"/>
    <row r="79" spans="1:32" ht="13.2" customHeight="1" x14ac:dyDescent="0.25">
      <c r="A79" s="817" t="s">
        <v>620</v>
      </c>
      <c r="B79" s="770"/>
      <c r="C79" s="770"/>
      <c r="D79" s="770"/>
      <c r="E79" s="770"/>
      <c r="F79" s="770"/>
      <c r="G79" s="770"/>
      <c r="H79" s="770"/>
      <c r="I79" s="770"/>
      <c r="J79" s="770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  <c r="AB79" s="481"/>
      <c r="AC79" s="481"/>
      <c r="AD79" s="481"/>
      <c r="AE79" s="481"/>
      <c r="AF79" s="478"/>
    </row>
    <row r="80" spans="1:32" ht="15" customHeight="1" x14ac:dyDescent="0.25">
      <c r="A80" s="34"/>
      <c r="B80" s="660" t="s">
        <v>606</v>
      </c>
      <c r="C80" s="660"/>
      <c r="D80" s="660"/>
      <c r="E80" s="660"/>
      <c r="F80" s="660"/>
      <c r="G80" s="660"/>
      <c r="H80" s="660"/>
      <c r="I80" s="660"/>
      <c r="J80" s="661"/>
      <c r="K80" s="34"/>
      <c r="L80" s="153" t="s">
        <v>741</v>
      </c>
      <c r="M80" s="5"/>
      <c r="N80" s="5"/>
      <c r="O80" s="5"/>
      <c r="P80" s="5"/>
      <c r="Q80" s="5"/>
      <c r="R80" s="5"/>
      <c r="S80" s="5"/>
      <c r="T80" s="5"/>
      <c r="U80" s="5"/>
      <c r="V80" s="72"/>
      <c r="W80" s="34"/>
      <c r="X80" s="659" t="s">
        <v>621</v>
      </c>
      <c r="Y80" s="660"/>
      <c r="Z80" s="660"/>
      <c r="AA80" s="660"/>
      <c r="AB80" s="660"/>
      <c r="AC80" s="660"/>
      <c r="AD80" s="660"/>
      <c r="AE80" s="660"/>
      <c r="AF80" s="661"/>
    </row>
    <row r="81" spans="1:32" ht="15" customHeight="1" x14ac:dyDescent="0.25">
      <c r="A81" s="34"/>
      <c r="B81" s="660" t="s">
        <v>101</v>
      </c>
      <c r="C81" s="660"/>
      <c r="D81" s="660"/>
      <c r="E81" s="660"/>
      <c r="F81" s="660"/>
      <c r="G81" s="660"/>
      <c r="H81" s="660"/>
      <c r="I81" s="660"/>
      <c r="J81" s="661"/>
      <c r="K81" s="34"/>
      <c r="L81" s="153" t="s">
        <v>607</v>
      </c>
      <c r="M81" s="5"/>
      <c r="N81" s="5"/>
      <c r="O81" s="5"/>
      <c r="P81" s="5"/>
      <c r="Q81" s="5"/>
      <c r="R81" s="5"/>
      <c r="S81" s="5"/>
      <c r="T81" s="5"/>
      <c r="U81" s="5"/>
      <c r="V81" s="72"/>
      <c r="W81" s="34"/>
      <c r="X81" s="818" t="s">
        <v>957</v>
      </c>
      <c r="Y81" s="818"/>
      <c r="Z81" s="818"/>
      <c r="AA81" s="818"/>
      <c r="AB81" s="818"/>
      <c r="AC81" s="818"/>
      <c r="AD81" s="818"/>
      <c r="AE81" s="818"/>
      <c r="AF81" s="819"/>
    </row>
    <row r="82" spans="1:32" ht="15" customHeight="1" x14ac:dyDescent="0.25">
      <c r="A82" s="34"/>
      <c r="B82" s="660" t="s">
        <v>609</v>
      </c>
      <c r="C82" s="660"/>
      <c r="D82" s="660"/>
      <c r="E82" s="660"/>
      <c r="F82" s="660"/>
      <c r="G82" s="660"/>
      <c r="H82" s="660"/>
      <c r="I82" s="660"/>
      <c r="J82" s="661"/>
      <c r="K82" s="34"/>
      <c r="L82" s="153" t="s">
        <v>958</v>
      </c>
      <c r="M82" s="5"/>
      <c r="N82" s="5"/>
      <c r="O82" s="5"/>
      <c r="P82" s="5"/>
      <c r="Q82" s="5"/>
      <c r="R82" s="5"/>
      <c r="S82" s="5"/>
      <c r="T82" s="5"/>
      <c r="U82" s="5"/>
      <c r="V82" s="72"/>
      <c r="W82" s="34"/>
      <c r="X82" s="659" t="s">
        <v>608</v>
      </c>
      <c r="Y82" s="660"/>
      <c r="Z82" s="660"/>
      <c r="AA82" s="660"/>
      <c r="AB82" s="660"/>
      <c r="AC82" s="660"/>
      <c r="AD82" s="660"/>
      <c r="AE82" s="660"/>
      <c r="AF82" s="661"/>
    </row>
    <row r="83" spans="1:32" ht="15" customHeight="1" x14ac:dyDescent="0.25">
      <c r="A83" s="34"/>
      <c r="B83" s="660" t="s">
        <v>612</v>
      </c>
      <c r="C83" s="660"/>
      <c r="D83" s="660"/>
      <c r="E83" s="660"/>
      <c r="F83" s="660"/>
      <c r="G83" s="660"/>
      <c r="H83" s="660"/>
      <c r="I83" s="660"/>
      <c r="J83" s="661"/>
      <c r="K83" s="34"/>
      <c r="L83" s="153" t="s">
        <v>610</v>
      </c>
      <c r="M83" s="5"/>
      <c r="N83" s="5"/>
      <c r="O83" s="5"/>
      <c r="P83" s="5"/>
      <c r="Q83" s="5"/>
      <c r="R83" s="5"/>
      <c r="S83" s="5"/>
      <c r="T83" s="5"/>
      <c r="U83" s="5"/>
      <c r="V83" s="72"/>
      <c r="W83" s="34"/>
      <c r="X83" s="659" t="s">
        <v>959</v>
      </c>
      <c r="Y83" s="660"/>
      <c r="Z83" s="660"/>
      <c r="AA83" s="660"/>
      <c r="AB83" s="660"/>
      <c r="AC83" s="660"/>
      <c r="AD83" s="660"/>
      <c r="AE83" s="660"/>
      <c r="AF83" s="661"/>
    </row>
    <row r="84" spans="1:32" ht="15" customHeight="1" x14ac:dyDescent="0.25">
      <c r="A84" s="34"/>
      <c r="B84" s="660" t="s">
        <v>614</v>
      </c>
      <c r="C84" s="660"/>
      <c r="D84" s="660"/>
      <c r="E84" s="660"/>
      <c r="F84" s="660"/>
      <c r="G84" s="660"/>
      <c r="H84" s="660"/>
      <c r="I84" s="660"/>
      <c r="J84" s="661"/>
      <c r="K84" s="34"/>
      <c r="L84" s="153" t="s">
        <v>613</v>
      </c>
      <c r="M84" s="5"/>
      <c r="N84" s="5"/>
      <c r="O84" s="5"/>
      <c r="P84" s="5"/>
      <c r="Q84" s="5"/>
      <c r="R84" s="5"/>
      <c r="S84" s="5"/>
      <c r="T84" s="5"/>
      <c r="U84" s="5"/>
      <c r="V84" s="72"/>
      <c r="W84" s="34"/>
      <c r="X84" s="659" t="s">
        <v>611</v>
      </c>
      <c r="Y84" s="660"/>
      <c r="Z84" s="660"/>
      <c r="AA84" s="660"/>
      <c r="AB84" s="660"/>
      <c r="AC84" s="660"/>
      <c r="AD84" s="660"/>
      <c r="AE84" s="660"/>
      <c r="AF84" s="661"/>
    </row>
    <row r="85" spans="1:32" ht="15" customHeight="1" x14ac:dyDescent="0.25">
      <c r="A85" s="34"/>
      <c r="B85" s="660" t="s">
        <v>960</v>
      </c>
      <c r="C85" s="660"/>
      <c r="D85" s="660"/>
      <c r="E85" s="660"/>
      <c r="F85" s="660"/>
      <c r="G85" s="660"/>
      <c r="H85" s="660"/>
      <c r="I85" s="660"/>
      <c r="J85" s="661"/>
      <c r="K85" s="34"/>
      <c r="L85" s="153" t="s">
        <v>618</v>
      </c>
      <c r="M85" s="5"/>
      <c r="N85" s="5"/>
      <c r="O85" s="5"/>
      <c r="P85" s="5"/>
      <c r="Q85" s="5"/>
      <c r="R85" s="5"/>
      <c r="S85" s="5"/>
      <c r="T85" s="5"/>
      <c r="U85" s="5"/>
      <c r="V85" s="72"/>
      <c r="W85" s="34"/>
      <c r="X85" s="659" t="s">
        <v>999</v>
      </c>
      <c r="Y85" s="660"/>
      <c r="Z85" s="660"/>
      <c r="AA85" s="660"/>
      <c r="AB85" s="660"/>
      <c r="AC85" s="660"/>
      <c r="AD85" s="660"/>
      <c r="AE85" s="660"/>
      <c r="AF85" s="661"/>
    </row>
    <row r="86" spans="1:32" ht="15" customHeight="1" x14ac:dyDescent="0.25">
      <c r="A86" s="34"/>
      <c r="B86" s="660" t="s">
        <v>615</v>
      </c>
      <c r="C86" s="660"/>
      <c r="D86" s="660"/>
      <c r="E86" s="660"/>
      <c r="F86" s="660"/>
      <c r="G86" s="660"/>
      <c r="H86" s="660"/>
      <c r="I86" s="660"/>
      <c r="J86" s="661"/>
      <c r="K86" s="34"/>
      <c r="L86" s="153" t="s">
        <v>962</v>
      </c>
      <c r="M86" s="5"/>
      <c r="N86" s="5"/>
      <c r="O86" s="5"/>
      <c r="P86" s="5"/>
      <c r="Q86" s="5"/>
      <c r="R86" s="5"/>
      <c r="S86" s="5"/>
      <c r="T86" s="5"/>
      <c r="U86" s="5"/>
      <c r="V86" s="72"/>
      <c r="W86" s="34"/>
      <c r="X86" s="659" t="s">
        <v>100</v>
      </c>
      <c r="Y86" s="660"/>
      <c r="Z86" s="660"/>
      <c r="AA86" s="660"/>
      <c r="AB86" s="660"/>
      <c r="AC86" s="660"/>
      <c r="AD86" s="660"/>
      <c r="AE86" s="660"/>
      <c r="AF86" s="661"/>
    </row>
    <row r="87" spans="1:32" ht="15" customHeight="1" x14ac:dyDescent="0.25">
      <c r="A87" s="34"/>
      <c r="B87" s="660" t="s">
        <v>961</v>
      </c>
      <c r="C87" s="660"/>
      <c r="D87" s="660"/>
      <c r="E87" s="660"/>
      <c r="F87" s="660"/>
      <c r="G87" s="660"/>
      <c r="H87" s="660"/>
      <c r="I87" s="660"/>
      <c r="J87" s="661"/>
      <c r="K87" s="34"/>
      <c r="L87" s="153" t="s">
        <v>616</v>
      </c>
      <c r="M87" s="5"/>
      <c r="N87" s="5"/>
      <c r="O87" s="5"/>
      <c r="P87" s="5"/>
      <c r="Q87" s="5"/>
      <c r="R87" s="5"/>
      <c r="S87" s="5"/>
      <c r="T87" s="5"/>
      <c r="U87" s="5"/>
      <c r="V87" s="72"/>
      <c r="W87" s="34"/>
      <c r="X87" s="659" t="s">
        <v>619</v>
      </c>
      <c r="Y87" s="660"/>
      <c r="Z87" s="660"/>
      <c r="AA87" s="660"/>
      <c r="AB87" s="660"/>
      <c r="AC87" s="660"/>
      <c r="AD87" s="660"/>
      <c r="AE87" s="660"/>
      <c r="AF87" s="661"/>
    </row>
    <row r="88" spans="1:32" ht="15" customHeight="1" x14ac:dyDescent="0.25">
      <c r="A88" s="34"/>
      <c r="B88" s="660" t="s">
        <v>617</v>
      </c>
      <c r="C88" s="660"/>
      <c r="D88" s="660"/>
      <c r="E88" s="660"/>
      <c r="F88" s="660"/>
      <c r="G88" s="660"/>
      <c r="H88" s="660"/>
      <c r="I88" s="660"/>
      <c r="J88" s="661"/>
      <c r="K88" s="34"/>
      <c r="L88" s="659" t="s">
        <v>956</v>
      </c>
      <c r="M88" s="660"/>
      <c r="N88" s="660"/>
      <c r="O88" s="660"/>
      <c r="P88" s="660"/>
      <c r="Q88" s="660"/>
      <c r="R88" s="660"/>
      <c r="S88" s="660"/>
      <c r="T88" s="661"/>
      <c r="V88" s="72"/>
      <c r="W88" s="34"/>
      <c r="X88" s="659"/>
      <c r="Y88" s="660"/>
      <c r="Z88" s="660"/>
      <c r="AA88" s="660"/>
      <c r="AB88" s="660"/>
      <c r="AC88" s="660"/>
      <c r="AD88" s="660"/>
      <c r="AE88" s="660"/>
      <c r="AF88" s="661"/>
    </row>
  </sheetData>
  <dataConsolidate/>
  <customSheetViews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198">
    <mergeCell ref="X86:AF86"/>
    <mergeCell ref="B87:J87"/>
    <mergeCell ref="X87:AF87"/>
    <mergeCell ref="AD54:AF54"/>
    <mergeCell ref="U72:W72"/>
    <mergeCell ref="P72:S72"/>
    <mergeCell ref="AC72:AE72"/>
    <mergeCell ref="K74:N74"/>
    <mergeCell ref="R76:U76"/>
    <mergeCell ref="W76:X76"/>
    <mergeCell ref="R77:U77"/>
    <mergeCell ref="W77:X77"/>
    <mergeCell ref="H76:K76"/>
    <mergeCell ref="A75:E76"/>
    <mergeCell ref="M75:P75"/>
    <mergeCell ref="R75:U75"/>
    <mergeCell ref="E74:I74"/>
    <mergeCell ref="U71:W71"/>
    <mergeCell ref="Y71:AA71"/>
    <mergeCell ref="AC71:AE71"/>
    <mergeCell ref="Y68:AA68"/>
    <mergeCell ref="P68:S68"/>
    <mergeCell ref="AC68:AE68"/>
    <mergeCell ref="Y67:AA67"/>
    <mergeCell ref="B88:J88"/>
    <mergeCell ref="X88:AF88"/>
    <mergeCell ref="B83:J83"/>
    <mergeCell ref="X83:AF83"/>
    <mergeCell ref="B84:J84"/>
    <mergeCell ref="X84:AF84"/>
    <mergeCell ref="B85:J85"/>
    <mergeCell ref="X85:AF85"/>
    <mergeCell ref="K69:N69"/>
    <mergeCell ref="AC70:AE70"/>
    <mergeCell ref="Y69:AA69"/>
    <mergeCell ref="Y70:AA70"/>
    <mergeCell ref="P69:S69"/>
    <mergeCell ref="AC69:AE69"/>
    <mergeCell ref="B82:J82"/>
    <mergeCell ref="X82:AF82"/>
    <mergeCell ref="A79:J79"/>
    <mergeCell ref="K79:V79"/>
    <mergeCell ref="W79:AF79"/>
    <mergeCell ref="B80:J80"/>
    <mergeCell ref="L88:T88"/>
    <mergeCell ref="B81:J81"/>
    <mergeCell ref="X81:AF81"/>
    <mergeCell ref="B86:J86"/>
    <mergeCell ref="A1:AC1"/>
    <mergeCell ref="AE1:AF2"/>
    <mergeCell ref="A2:AC2"/>
    <mergeCell ref="AC4:AF4"/>
    <mergeCell ref="AE3:AF3"/>
    <mergeCell ref="X3:AA4"/>
    <mergeCell ref="U3:W4"/>
    <mergeCell ref="H6:AE6"/>
    <mergeCell ref="A18:D18"/>
    <mergeCell ref="U15:AF15"/>
    <mergeCell ref="E15:O15"/>
    <mergeCell ref="H9:AE9"/>
    <mergeCell ref="AC5:AF5"/>
    <mergeCell ref="H5:Z5"/>
    <mergeCell ref="U13:X13"/>
    <mergeCell ref="H7:M7"/>
    <mergeCell ref="R7:AE7"/>
    <mergeCell ref="P10:S10"/>
    <mergeCell ref="AD11:AF11"/>
    <mergeCell ref="AD10:AE10"/>
    <mergeCell ref="H10:K10"/>
    <mergeCell ref="H13:N13"/>
    <mergeCell ref="H12:N12"/>
    <mergeCell ref="AD12:AE12"/>
    <mergeCell ref="A24:C24"/>
    <mergeCell ref="H21:I21"/>
    <mergeCell ref="T21:V21"/>
    <mergeCell ref="X33:AA33"/>
    <mergeCell ref="U51:AC51"/>
    <mergeCell ref="V45:W45"/>
    <mergeCell ref="P14:X14"/>
    <mergeCell ref="X47:Z48"/>
    <mergeCell ref="L47:W47"/>
    <mergeCell ref="L50:M50"/>
    <mergeCell ref="U30:AF30"/>
    <mergeCell ref="Z37:AB37"/>
    <mergeCell ref="X34:AB34"/>
    <mergeCell ref="E16:O16"/>
    <mergeCell ref="H14:I14"/>
    <mergeCell ref="U16:AF17"/>
    <mergeCell ref="U26:AF26"/>
    <mergeCell ref="P18:AF18"/>
    <mergeCell ref="L49:M49"/>
    <mergeCell ref="AD50:AF50"/>
    <mergeCell ref="J49:K49"/>
    <mergeCell ref="U28:AF28"/>
    <mergeCell ref="V37:X37"/>
    <mergeCell ref="U27:AF27"/>
    <mergeCell ref="J35:AC35"/>
    <mergeCell ref="AC37:AF39"/>
    <mergeCell ref="AA47:AA48"/>
    <mergeCell ref="AD64:AF64"/>
    <mergeCell ref="AD57:AF57"/>
    <mergeCell ref="AC34:AF34"/>
    <mergeCell ref="R50:T50"/>
    <mergeCell ref="A40:AF41"/>
    <mergeCell ref="A43:AB43"/>
    <mergeCell ref="Y56:AB56"/>
    <mergeCell ref="V49:W49"/>
    <mergeCell ref="AC42:AF42"/>
    <mergeCell ref="O50:Q50"/>
    <mergeCell ref="AD52:AF52"/>
    <mergeCell ref="AD51:AF51"/>
    <mergeCell ref="N49:O49"/>
    <mergeCell ref="P49:Q49"/>
    <mergeCell ref="U52:AC52"/>
    <mergeCell ref="A28:L28"/>
    <mergeCell ref="A31:AF31"/>
    <mergeCell ref="P37:S37"/>
    <mergeCell ref="A27:M27"/>
    <mergeCell ref="N39:O39"/>
    <mergeCell ref="A29:L29"/>
    <mergeCell ref="AD58:AF58"/>
    <mergeCell ref="W64:Y64"/>
    <mergeCell ref="Q42:T42"/>
    <mergeCell ref="U55:AC55"/>
    <mergeCell ref="V58:AB58"/>
    <mergeCell ref="A34:U34"/>
    <mergeCell ref="A35:H35"/>
    <mergeCell ref="A36:AF36"/>
    <mergeCell ref="U53:AC53"/>
    <mergeCell ref="A58:G58"/>
    <mergeCell ref="A55:J55"/>
    <mergeCell ref="A53:J53"/>
    <mergeCell ref="U54:AC54"/>
    <mergeCell ref="A52:J52"/>
    <mergeCell ref="AD47:AF48"/>
    <mergeCell ref="AB47:AC48"/>
    <mergeCell ref="A51:J51"/>
    <mergeCell ref="R49:S49"/>
    <mergeCell ref="M77:P77"/>
    <mergeCell ref="Q66:S66"/>
    <mergeCell ref="W66:Y66"/>
    <mergeCell ref="M76:P76"/>
    <mergeCell ref="P73:S73"/>
    <mergeCell ref="Y73:AA73"/>
    <mergeCell ref="K73:N73"/>
    <mergeCell ref="AD65:AF65"/>
    <mergeCell ref="U73:W73"/>
    <mergeCell ref="P74:S74"/>
    <mergeCell ref="U74:W74"/>
    <mergeCell ref="Y74:AA74"/>
    <mergeCell ref="AC74:AE74"/>
    <mergeCell ref="AD66:AF66"/>
    <mergeCell ref="U67:W67"/>
    <mergeCell ref="P71:S71"/>
    <mergeCell ref="AC73:AE73"/>
    <mergeCell ref="Y72:AA72"/>
    <mergeCell ref="AD55:AF55"/>
    <mergeCell ref="E70:I70"/>
    <mergeCell ref="E72:I72"/>
    <mergeCell ref="E71:I71"/>
    <mergeCell ref="H62:AF62"/>
    <mergeCell ref="O57:AC57"/>
    <mergeCell ref="W63:Y63"/>
    <mergeCell ref="G63:J63"/>
    <mergeCell ref="P70:S70"/>
    <mergeCell ref="U68:W68"/>
    <mergeCell ref="K72:N72"/>
    <mergeCell ref="K71:N71"/>
    <mergeCell ref="K68:N68"/>
    <mergeCell ref="Q65:S65"/>
    <mergeCell ref="K67:N67"/>
    <mergeCell ref="P67:S67"/>
    <mergeCell ref="AD63:AF63"/>
    <mergeCell ref="Q63:S63"/>
    <mergeCell ref="X80:AF80"/>
    <mergeCell ref="E73:I73"/>
    <mergeCell ref="AD56:AF56"/>
    <mergeCell ref="K8:U8"/>
    <mergeCell ref="A54:J54"/>
    <mergeCell ref="U69:W69"/>
    <mergeCell ref="U70:W70"/>
    <mergeCell ref="K70:N70"/>
    <mergeCell ref="L33:T33"/>
    <mergeCell ref="W11:Y11"/>
    <mergeCell ref="H11:S11"/>
    <mergeCell ref="N26:O26"/>
    <mergeCell ref="A26:I26"/>
    <mergeCell ref="P26:Q26"/>
    <mergeCell ref="W65:Y65"/>
    <mergeCell ref="V60:W60"/>
    <mergeCell ref="G64:J64"/>
    <mergeCell ref="Q64:S64"/>
    <mergeCell ref="G65:J65"/>
    <mergeCell ref="G66:J66"/>
    <mergeCell ref="A59:AF59"/>
    <mergeCell ref="E68:I68"/>
    <mergeCell ref="E69:I69"/>
    <mergeCell ref="AD53:AF53"/>
  </mergeCells>
  <phoneticPr fontId="0" type="noConversion"/>
  <conditionalFormatting sqref="H77:K77">
    <cfRule type="cellIs" dxfId="14" priority="17" stopIfTrue="1" operator="between">
      <formula>0.25</formula>
      <formula>0.1</formula>
    </cfRule>
    <cfRule type="cellIs" priority="18" stopIfTrue="1" operator="equal">
      <formula>0</formula>
    </cfRule>
  </conditionalFormatting>
  <conditionalFormatting sqref="I20:J20">
    <cfRule type="cellIs" dxfId="13" priority="23" stopIfTrue="1" operator="equal">
      <formula>"Nein"</formula>
    </cfRule>
  </conditionalFormatting>
  <conditionalFormatting sqref="K79">
    <cfRule type="cellIs" dxfId="12" priority="1" stopIfTrue="1" operator="between">
      <formula>0.25</formula>
      <formula>0.1</formula>
    </cfRule>
    <cfRule type="cellIs" priority="2" stopIfTrue="1" operator="equal">
      <formula>0</formula>
    </cfRule>
  </conditionalFormatting>
  <conditionalFormatting sqref="K8:U8">
    <cfRule type="cellIs" dxfId="11" priority="5" operator="equal">
      <formula>"Übergangsregion!"</formula>
    </cfRule>
  </conditionalFormatting>
  <conditionalFormatting sqref="K20:AE20">
    <cfRule type="cellIs" dxfId="10" priority="26" stopIfTrue="1" operator="equal">
      <formula>""</formula>
    </cfRule>
  </conditionalFormatting>
  <conditionalFormatting sqref="L33:T33">
    <cfRule type="cellIs" dxfId="9" priority="20" stopIfTrue="1" operator="equal">
      <formula>" "</formula>
    </cfRule>
  </conditionalFormatting>
  <conditionalFormatting sqref="M77:P77">
    <cfRule type="cellIs" priority="27" stopIfTrue="1" operator="equal">
      <formula>0</formula>
    </cfRule>
  </conditionalFormatting>
  <conditionalFormatting sqref="P14:X14">
    <cfRule type="containsText" dxfId="8" priority="3" operator="containsText" text="Übergangsregion">
      <formula>NOT(ISERROR(SEARCH("Übergangsregion",P14)))</formula>
    </cfRule>
  </conditionalFormatting>
  <conditionalFormatting sqref="R77:U77">
    <cfRule type="cellIs" priority="8" stopIfTrue="1" operator="equal">
      <formula>0</formula>
    </cfRule>
  </conditionalFormatting>
  <conditionalFormatting sqref="T21:V21">
    <cfRule type="cellIs" dxfId="7" priority="25" stopIfTrue="1" operator="equal">
      <formula>"ja"</formula>
    </cfRule>
  </conditionalFormatting>
  <conditionalFormatting sqref="X33:Z33">
    <cfRule type="cellIs" dxfId="6" priority="19" stopIfTrue="1" operator="equal">
      <formula>" "</formula>
    </cfRule>
  </conditionalFormatting>
  <conditionalFormatting sqref="AC43:AF43">
    <cfRule type="cellIs" dxfId="5" priority="21" stopIfTrue="1" operator="equal">
      <formula>"Prio 0"</formula>
    </cfRule>
    <cfRule type="cellIs" dxfId="4" priority="22" stopIfTrue="1" operator="equal">
      <formula>"Prio 1"</formula>
    </cfRule>
  </conditionalFormatting>
  <conditionalFormatting sqref="AD10:AE10">
    <cfRule type="cellIs" dxfId="3" priority="30" stopIfTrue="1" operator="between">
      <formula>11</formula>
      <formula>1</formula>
    </cfRule>
    <cfRule type="cellIs" dxfId="2" priority="31" stopIfTrue="1" operator="equal">
      <formula>0</formula>
    </cfRule>
  </conditionalFormatting>
  <conditionalFormatting sqref="AF69:AF74">
    <cfRule type="cellIs" dxfId="1" priority="9" stopIfTrue="1" operator="between">
      <formula>0.505</formula>
      <formula>1</formula>
    </cfRule>
    <cfRule type="cellIs" dxfId="0" priority="10" stopIfTrue="1" operator="equal">
      <formula>0</formula>
    </cfRule>
  </conditionalFormatting>
  <dataValidations count="2">
    <dataValidation type="list" allowBlank="1" showInputMessage="1" showErrorMessage="1" sqref="AI33:AI34" xr:uid="{00000000-0002-0000-0200-000000000000}">
      <formula1>"fehl.kofi"</formula1>
    </dataValidation>
    <dataValidation type="list" allowBlank="1" showInputMessage="1" showErrorMessage="1" sqref="AH33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3" max="31" man="1"/>
  </rowBreaks>
  <cellWatches>
    <cellWatch r="W11"/>
  </cellWatches>
  <ignoredErrors>
    <ignoredError sqref="K8 P14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160020</xdr:colOff>
                    <xdr:row>20</xdr:row>
                    <xdr:rowOff>160020</xdr:rowOff>
                  </from>
                  <to>
                    <xdr:col>8</xdr:col>
                    <xdr:colOff>289560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144780</xdr:rowOff>
                  </from>
                  <to>
                    <xdr:col>13</xdr:col>
                    <xdr:colOff>60960</xdr:colOff>
                    <xdr:row>22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7620</xdr:rowOff>
                  </from>
                  <to>
                    <xdr:col>30</xdr:col>
                    <xdr:colOff>175260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83820</xdr:colOff>
                    <xdr:row>17</xdr:row>
                    <xdr:rowOff>15240</xdr:rowOff>
                  </from>
                  <to>
                    <xdr:col>6</xdr:col>
                    <xdr:colOff>30480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9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76200</xdr:rowOff>
                  </from>
                  <to>
                    <xdr:col>13</xdr:col>
                    <xdr:colOff>22860</xdr:colOff>
                    <xdr:row>50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83820</xdr:rowOff>
                  </from>
                  <to>
                    <xdr:col>16</xdr:col>
                    <xdr:colOff>22860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68580</xdr:colOff>
                    <xdr:row>50</xdr:row>
                    <xdr:rowOff>83820</xdr:rowOff>
                  </from>
                  <to>
                    <xdr:col>19</xdr:col>
                    <xdr:colOff>7620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83820</xdr:rowOff>
                  </from>
                  <to>
                    <xdr:col>13</xdr:col>
                    <xdr:colOff>22860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83820</xdr:rowOff>
                  </from>
                  <to>
                    <xdr:col>16</xdr:col>
                    <xdr:colOff>22860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68580</xdr:colOff>
                    <xdr:row>51</xdr:row>
                    <xdr:rowOff>83820</xdr:rowOff>
                  </from>
                  <to>
                    <xdr:col>19</xdr:col>
                    <xdr:colOff>7620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52</xdr:row>
                    <xdr:rowOff>38100</xdr:rowOff>
                  </from>
                  <to>
                    <xdr:col>19</xdr:col>
                    <xdr:colOff>22860</xdr:colOff>
                    <xdr:row>52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38100</xdr:rowOff>
                  </from>
                  <to>
                    <xdr:col>13</xdr:col>
                    <xdr:colOff>22860</xdr:colOff>
                    <xdr:row>52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38100</xdr:rowOff>
                  </from>
                  <to>
                    <xdr:col>16</xdr:col>
                    <xdr:colOff>22860</xdr:colOff>
                    <xdr:row>52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160020</xdr:colOff>
                    <xdr:row>24</xdr:row>
                    <xdr:rowOff>30480</xdr:rowOff>
                  </from>
                  <to>
                    <xdr:col>8</xdr:col>
                    <xdr:colOff>289560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160020</xdr:colOff>
                    <xdr:row>24</xdr:row>
                    <xdr:rowOff>30480</xdr:rowOff>
                  </from>
                  <to>
                    <xdr:col>13</xdr:col>
                    <xdr:colOff>106680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7620</xdr:colOff>
                    <xdr:row>24</xdr:row>
                    <xdr:rowOff>7620</xdr:rowOff>
                  </from>
                  <to>
                    <xdr:col>30</xdr:col>
                    <xdr:colOff>175260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68580</xdr:colOff>
                    <xdr:row>53</xdr:row>
                    <xdr:rowOff>38100</xdr:rowOff>
                  </from>
                  <to>
                    <xdr:col>19</xdr:col>
                    <xdr:colOff>7620</xdr:colOff>
                    <xdr:row>53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45720</xdr:rowOff>
                  </from>
                  <to>
                    <xdr:col>13</xdr:col>
                    <xdr:colOff>22860</xdr:colOff>
                    <xdr:row>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45720</xdr:rowOff>
                  </from>
                  <to>
                    <xdr:col>16</xdr:col>
                    <xdr:colOff>22860</xdr:colOff>
                    <xdr:row>53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22860</xdr:rowOff>
                  </from>
                  <to>
                    <xdr:col>30</xdr:col>
                    <xdr:colOff>175260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54</xdr:row>
                    <xdr:rowOff>45720</xdr:rowOff>
                  </from>
                  <to>
                    <xdr:col>13</xdr:col>
                    <xdr:colOff>22860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45720</xdr:rowOff>
                  </from>
                  <to>
                    <xdr:col>16</xdr:col>
                    <xdr:colOff>22860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68580</xdr:colOff>
                    <xdr:row>54</xdr:row>
                    <xdr:rowOff>45720</xdr:rowOff>
                  </from>
                  <to>
                    <xdr:col>19</xdr:col>
                    <xdr:colOff>7620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56</xdr:row>
                    <xdr:rowOff>0</xdr:rowOff>
                  </from>
                  <to>
                    <xdr:col>13</xdr:col>
                    <xdr:colOff>22860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" name="Check Box 122">
              <controlPr defaultSize="0" autoFill="0" autoLine="0" autoPict="0">
                <anchor moveWithCells="1">
                  <from>
                    <xdr:col>13</xdr:col>
                    <xdr:colOff>30480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2" name="Check Box 123">
              <controlPr defaultSize="0" autoFill="0" autoLine="0" autoPict="0">
                <anchor moveWithCells="1">
                  <from>
                    <xdr:col>15</xdr:col>
                    <xdr:colOff>106680</xdr:colOff>
                    <xdr:row>26</xdr:row>
                    <xdr:rowOff>30480</xdr:rowOff>
                  </from>
                  <to>
                    <xdr:col>17</xdr:col>
                    <xdr:colOff>45720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3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121920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4" name="Check Box 125">
              <controlPr defaultSize="0" autoFill="0" autoLine="0" autoPict="0">
                <anchor moveWithCells="1">
                  <from>
                    <xdr:col>13</xdr:col>
                    <xdr:colOff>30480</xdr:colOff>
                    <xdr:row>27</xdr:row>
                    <xdr:rowOff>30480</xdr:rowOff>
                  </from>
                  <to>
                    <xdr:col>14</xdr:col>
                    <xdr:colOff>152400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5" name="Check Box 126">
              <controlPr defaultSize="0" autoFill="0" autoLine="0" autoPict="0">
                <anchor moveWithCells="1">
                  <from>
                    <xdr:col>15</xdr:col>
                    <xdr:colOff>121920</xdr:colOff>
                    <xdr:row>27</xdr:row>
                    <xdr:rowOff>30480</xdr:rowOff>
                  </from>
                  <to>
                    <xdr:col>17</xdr:col>
                    <xdr:colOff>68580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6" name="Check Box 127">
              <controlPr defaultSize="0" autoFill="0" autoLine="0" autoPict="0">
                <anchor moveWithCells="1">
                  <from>
                    <xdr:col>18</xdr:col>
                    <xdr:colOff>7620</xdr:colOff>
                    <xdr:row>27</xdr:row>
                    <xdr:rowOff>30480</xdr:rowOff>
                  </from>
                  <to>
                    <xdr:col>19</xdr:col>
                    <xdr:colOff>137160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Option Button 131">
              <controlPr defaultSize="0" autoFill="0" autoLine="0" autoPict="0">
                <anchor moveWithCells="1">
                  <from>
                    <xdr:col>14</xdr:col>
                    <xdr:colOff>175260</xdr:colOff>
                    <xdr:row>36</xdr:row>
                    <xdr:rowOff>182880</xdr:rowOff>
                  </from>
                  <to>
                    <xdr:col>19</xdr:col>
                    <xdr:colOff>60960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Option Button 132">
              <controlPr defaultSize="0" autoFill="0" autoLine="0" autoPict="0">
                <anchor moveWithCells="1">
                  <from>
                    <xdr:col>24</xdr:col>
                    <xdr:colOff>160020</xdr:colOff>
                    <xdr:row>37</xdr:row>
                    <xdr:rowOff>7620</xdr:rowOff>
                  </from>
                  <to>
                    <xdr:col>28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9" name="Check Box 139">
              <controlPr defaultSize="0" autoFill="0" autoLine="0" autoPict="0">
                <anchor moveWithCells="1">
                  <from>
                    <xdr:col>13</xdr:col>
                    <xdr:colOff>22860</xdr:colOff>
                    <xdr:row>29</xdr:row>
                    <xdr:rowOff>45720</xdr:rowOff>
                  </from>
                  <to>
                    <xdr:col>14</xdr:col>
                    <xdr:colOff>144780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0" name="Check Box 140">
              <controlPr defaultSize="0" autoFill="0" autoLine="0" autoPict="0">
                <anchor moveWithCells="1">
                  <from>
                    <xdr:col>15</xdr:col>
                    <xdr:colOff>137160</xdr:colOff>
                    <xdr:row>29</xdr:row>
                    <xdr:rowOff>30480</xdr:rowOff>
                  </from>
                  <to>
                    <xdr:col>17</xdr:col>
                    <xdr:colOff>76200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1" name="Check Box 141">
              <controlPr defaultSize="0" autoFill="0" autoLine="0" autoPict="0">
                <anchor moveWithCells="1">
                  <from>
                    <xdr:col>18</xdr:col>
                    <xdr:colOff>22860</xdr:colOff>
                    <xdr:row>29</xdr:row>
                    <xdr:rowOff>30480</xdr:rowOff>
                  </from>
                  <to>
                    <xdr:col>19</xdr:col>
                    <xdr:colOff>144780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2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220980</xdr:rowOff>
                  </from>
                  <to>
                    <xdr:col>12</xdr:col>
                    <xdr:colOff>175260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3" name="Option Button 146">
              <controlPr defaultSize="0" autoFill="0" autoLine="0" autoPict="0">
                <anchor moveWithCells="1">
                  <from>
                    <xdr:col>23</xdr:col>
                    <xdr:colOff>60960</xdr:colOff>
                    <xdr:row>41</xdr:row>
                    <xdr:rowOff>22860</xdr:rowOff>
                  </from>
                  <to>
                    <xdr:col>27</xdr:col>
                    <xdr:colOff>7620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4" name="Option Button 147">
              <controlPr defaultSize="0" autoFill="0" autoLine="0" autoPict="0">
                <anchor moveWithCells="1">
                  <from>
                    <xdr:col>20</xdr:col>
                    <xdr:colOff>106680</xdr:colOff>
                    <xdr:row>41</xdr:row>
                    <xdr:rowOff>22860</xdr:rowOff>
                  </from>
                  <to>
                    <xdr:col>22</xdr:col>
                    <xdr:colOff>297180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5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7620</xdr:rowOff>
                  </from>
                  <to>
                    <xdr:col>31</xdr:col>
                    <xdr:colOff>106680</xdr:colOff>
                    <xdr:row>59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6" name="Option Button 149">
              <controlPr defaultSize="0" autoFill="0" autoLine="0" autoPict="0">
                <anchor moveWithCells="1">
                  <from>
                    <xdr:col>27</xdr:col>
                    <xdr:colOff>137160</xdr:colOff>
                    <xdr:row>59</xdr:row>
                    <xdr:rowOff>99060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7" name="Option Button 150">
              <controlPr defaultSize="0" autoFill="0" autoLine="0" autoPict="0">
                <anchor moveWithCells="1">
                  <from>
                    <xdr:col>21</xdr:col>
                    <xdr:colOff>30480</xdr:colOff>
                    <xdr:row>59</xdr:row>
                    <xdr:rowOff>83820</xdr:rowOff>
                  </from>
                  <to>
                    <xdr:col>22</xdr:col>
                    <xdr:colOff>198120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8" name="Drop Down 151">
              <controlPr defaultSize="0" autoLine="0" autoPict="0">
                <anchor moveWithCells="1">
                  <from>
                    <xdr:col>6</xdr:col>
                    <xdr:colOff>99060</xdr:colOff>
                    <xdr:row>32</xdr:row>
                    <xdr:rowOff>0</xdr:rowOff>
                  </from>
                  <to>
                    <xdr:col>8</xdr:col>
                    <xdr:colOff>289560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9" name="Drop Down 152">
              <controlPr defaultSize="0" autoLine="0" autoPict="0">
                <anchor moveWithCells="1">
                  <from>
                    <xdr:col>6</xdr:col>
                    <xdr:colOff>60960</xdr:colOff>
                    <xdr:row>31</xdr:row>
                    <xdr:rowOff>60960</xdr:rowOff>
                  </from>
                  <to>
                    <xdr:col>18</xdr:col>
                    <xdr:colOff>144780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" name="Check Box 153">
              <controlPr defaultSize="0" autoFill="0" autoLine="0" autoPict="0">
                <anchor moveWithCells="1">
                  <from>
                    <xdr:col>27</xdr:col>
                    <xdr:colOff>60960</xdr:colOff>
                    <xdr:row>30</xdr:row>
                    <xdr:rowOff>45720</xdr:rowOff>
                  </from>
                  <to>
                    <xdr:col>29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129540</xdr:rowOff>
                  </from>
                  <to>
                    <xdr:col>1</xdr:col>
                    <xdr:colOff>121920</xdr:colOff>
                    <xdr:row>79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2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152400</xdr:rowOff>
                  </from>
                  <to>
                    <xdr:col>11</xdr:col>
                    <xdr:colOff>99060</xdr:colOff>
                    <xdr:row>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3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152400</xdr:rowOff>
                  </from>
                  <to>
                    <xdr:col>11</xdr:col>
                    <xdr:colOff>121920</xdr:colOff>
                    <xdr:row>87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4" name="Option Button 214">
              <controlPr defaultSize="0" autoFill="0" autoLine="0" autoPict="0">
                <anchor moveWithCells="1">
                  <from>
                    <xdr:col>18</xdr:col>
                    <xdr:colOff>68580</xdr:colOff>
                    <xdr:row>37</xdr:row>
                    <xdr:rowOff>30480</xdr:rowOff>
                  </from>
                  <to>
                    <xdr:col>24</xdr:col>
                    <xdr:colOff>22860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5" name="Option Button 215">
              <controlPr defaultSize="0" autoFill="0" autoLine="0" autoPict="0">
                <anchor moveWithCells="1">
                  <from>
                    <xdr:col>22</xdr:col>
                    <xdr:colOff>213360</xdr:colOff>
                    <xdr:row>59</xdr:row>
                    <xdr:rowOff>83820</xdr:rowOff>
                  </from>
                  <to>
                    <xdr:col>27</xdr:col>
                    <xdr:colOff>99060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56" name="Check Box 257">
              <controlPr defaultSize="0" autoFill="0" autoLine="0" autoPict="0">
                <anchor moveWithCells="1">
                  <from>
                    <xdr:col>0</xdr:col>
                    <xdr:colOff>0</xdr:colOff>
                    <xdr:row>81</xdr:row>
                    <xdr:rowOff>0</xdr:rowOff>
                  </from>
                  <to>
                    <xdr:col>1</xdr:col>
                    <xdr:colOff>121920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57" name="Check Box 258">
              <controlPr defaultSize="0" autoFill="0" autoLine="0" autoPict="0">
                <anchor moveWithCells="1">
                  <from>
                    <xdr:col>0</xdr:col>
                    <xdr:colOff>0</xdr:colOff>
                    <xdr:row>83</xdr:row>
                    <xdr:rowOff>198120</xdr:rowOff>
                  </from>
                  <to>
                    <xdr:col>1</xdr:col>
                    <xdr:colOff>121920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58" name="Check Box 2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121920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59" name="Check Box 260">
              <controlPr defaultSize="0" autoFill="0" autoLine="0" autoPict="0">
                <anchor moveWithCells="1">
                  <from>
                    <xdr:col>0</xdr:col>
                    <xdr:colOff>0</xdr:colOff>
                    <xdr:row>81</xdr:row>
                    <xdr:rowOff>198120</xdr:rowOff>
                  </from>
                  <to>
                    <xdr:col>1</xdr:col>
                    <xdr:colOff>121920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0" name="Check Box 261">
              <controlPr defaultSize="0" autoFill="0" autoLine="0" autoPict="0">
                <anchor moveWithCells="1">
                  <from>
                    <xdr:col>0</xdr:col>
                    <xdr:colOff>0</xdr:colOff>
                    <xdr:row>83</xdr:row>
                    <xdr:rowOff>0</xdr:rowOff>
                  </from>
                  <to>
                    <xdr:col>1</xdr:col>
                    <xdr:colOff>121920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1" name="Check Box 262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167640</xdr:rowOff>
                  </from>
                  <to>
                    <xdr:col>1</xdr:col>
                    <xdr:colOff>121920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2" name="Check Box 263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0</xdr:rowOff>
                  </from>
                  <to>
                    <xdr:col>1</xdr:col>
                    <xdr:colOff>121920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3" name="Check Box 264">
              <controlPr defaultSize="0" autoFill="0" autoLine="0" autoPict="0">
                <anchor moveWithCells="1">
                  <from>
                    <xdr:col>10</xdr:col>
                    <xdr:colOff>0</xdr:colOff>
                    <xdr:row>79</xdr:row>
                    <xdr:rowOff>190500</xdr:rowOff>
                  </from>
                  <to>
                    <xdr:col>11</xdr:col>
                    <xdr:colOff>99060</xdr:colOff>
                    <xdr:row>81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4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198120</xdr:rowOff>
                  </from>
                  <to>
                    <xdr:col>11</xdr:col>
                    <xdr:colOff>121920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5" name="Check Box 266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198120</xdr:rowOff>
                  </from>
                  <to>
                    <xdr:col>11</xdr:col>
                    <xdr:colOff>121920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6" name="Check Box 267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198120</xdr:rowOff>
                  </from>
                  <to>
                    <xdr:col>11</xdr:col>
                    <xdr:colOff>121920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7" name="Check Box 268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198120</xdr:rowOff>
                  </from>
                  <to>
                    <xdr:col>11</xdr:col>
                    <xdr:colOff>121920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8" name="Check Box 269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198120</xdr:rowOff>
                  </from>
                  <to>
                    <xdr:col>11</xdr:col>
                    <xdr:colOff>121920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9" name="Check Box 270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198120</xdr:rowOff>
                  </from>
                  <to>
                    <xdr:col>11</xdr:col>
                    <xdr:colOff>121920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70" name="Check Box 273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71" name="Check Box 274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0</xdr:rowOff>
                  </from>
                  <to>
                    <xdr:col>23</xdr:col>
                    <xdr:colOff>22860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72" name="Check Box 275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198120</xdr:rowOff>
                  </from>
                  <to>
                    <xdr:col>23</xdr:col>
                    <xdr:colOff>38100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73" name="Check Box 276">
              <controlPr defaultSize="0" autoFill="0" autoLine="0" autoPict="0">
                <anchor moveWithCells="1">
                  <from>
                    <xdr:col>22</xdr:col>
                    <xdr:colOff>30480</xdr:colOff>
                    <xdr:row>82</xdr:row>
                    <xdr:rowOff>198120</xdr:rowOff>
                  </from>
                  <to>
                    <xdr:col>23</xdr:col>
                    <xdr:colOff>22860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74" name="Check Box 277">
              <controlPr defaultSize="0" autoFill="0" autoLine="0" autoPict="0">
                <anchor moveWithCells="1">
                  <from>
                    <xdr:col>22</xdr:col>
                    <xdr:colOff>30480</xdr:colOff>
                    <xdr:row>83</xdr:row>
                    <xdr:rowOff>190500</xdr:rowOff>
                  </from>
                  <to>
                    <xdr:col>23</xdr:col>
                    <xdr:colOff>22860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75" name="Check Box 278">
              <controlPr defaultSize="0" autoFill="0" autoLine="0" autoPict="0">
                <anchor moveWithCells="1">
                  <from>
                    <xdr:col>22</xdr:col>
                    <xdr:colOff>30480</xdr:colOff>
                    <xdr:row>85</xdr:row>
                    <xdr:rowOff>198120</xdr:rowOff>
                  </from>
                  <to>
                    <xdr:col>23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76" name="Check Box 279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198120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77" name="Check Box 281">
              <controlPr defaultSize="0" autoFill="0" autoLine="0" autoPict="0">
                <anchor moveWithCells="1">
                  <from>
                    <xdr:col>10</xdr:col>
                    <xdr:colOff>0</xdr:colOff>
                    <xdr:row>86</xdr:row>
                    <xdr:rowOff>0</xdr:rowOff>
                  </from>
                  <to>
                    <xdr:col>11</xdr:col>
                    <xdr:colOff>121920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78" name="Check Box 282">
              <controlPr defaultSize="0" autoFill="0" autoLine="0" autoPict="0">
                <anchor moveWithCells="1">
                  <from>
                    <xdr:col>22</xdr:col>
                    <xdr:colOff>30480</xdr:colOff>
                    <xdr:row>87</xdr:row>
                    <xdr:rowOff>0</xdr:rowOff>
                  </from>
                  <to>
                    <xdr:col>23</xdr:col>
                    <xdr:colOff>22860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79" name="Check Box 283">
              <controlPr defaultSize="0" autoFill="0" autoLine="0" autoPict="0">
                <anchor moveWithCells="1">
                  <from>
                    <xdr:col>22</xdr:col>
                    <xdr:colOff>30480</xdr:colOff>
                    <xdr:row>85</xdr:row>
                    <xdr:rowOff>198120</xdr:rowOff>
                  </from>
                  <to>
                    <xdr:col>23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80" name="Check Box 284">
              <controlPr defaultSize="0" autoFill="0" autoLine="0" autoPict="0">
                <anchor moveWithCells="1">
                  <from>
                    <xdr:col>22</xdr:col>
                    <xdr:colOff>30480</xdr:colOff>
                    <xdr:row>85</xdr:row>
                    <xdr:rowOff>198120</xdr:rowOff>
                  </from>
                  <to>
                    <xdr:col>23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81" name="Check Box 285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0</xdr:rowOff>
                  </from>
                  <to>
                    <xdr:col>23</xdr:col>
                    <xdr:colOff>38100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82" name="Check Box 286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0</xdr:rowOff>
                  </from>
                  <to>
                    <xdr:col>23</xdr:col>
                    <xdr:colOff>38100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83" name="Check Box 287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0</xdr:rowOff>
                  </from>
                  <to>
                    <xdr:col>23</xdr:col>
                    <xdr:colOff>22860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84" name="Check Box 288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0</xdr:rowOff>
                  </from>
                  <to>
                    <xdr:col>23</xdr:col>
                    <xdr:colOff>22860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85" name="Check Box 289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0</xdr:rowOff>
                  </from>
                  <to>
                    <xdr:col>23</xdr:col>
                    <xdr:colOff>38100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86" name="Check Box 290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0</xdr:rowOff>
                  </from>
                  <to>
                    <xdr:col>23</xdr:col>
                    <xdr:colOff>38100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87" name="Check Box 291">
              <controlPr defaultSize="0" autoFill="0" autoLine="0" autoPict="0">
                <anchor moveWithCells="1">
                  <from>
                    <xdr:col>0</xdr:col>
                    <xdr:colOff>7620</xdr:colOff>
                    <xdr:row>86</xdr:row>
                    <xdr:rowOff>175260</xdr:rowOff>
                  </from>
                  <to>
                    <xdr:col>1</xdr:col>
                    <xdr:colOff>99060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88" name="Check Box 296">
              <controlPr defaultSize="0" autoFill="0" autoLine="0" autoPict="0">
                <anchor moveWithCells="1">
                  <from>
                    <xdr:col>23</xdr:col>
                    <xdr:colOff>76200</xdr:colOff>
                    <xdr:row>17</xdr:row>
                    <xdr:rowOff>0</xdr:rowOff>
                  </from>
                  <to>
                    <xdr:col>25</xdr:col>
                    <xdr:colOff>15240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89" name="Check Box 297">
              <controlPr defaultSize="0" autoFill="0" autoLine="0" autoPict="0">
                <anchor moveWithCells="1">
                  <from>
                    <xdr:col>26</xdr:col>
                    <xdr:colOff>76200</xdr:colOff>
                    <xdr:row>17</xdr:row>
                    <xdr:rowOff>15240</xdr:rowOff>
                  </from>
                  <to>
                    <xdr:col>29</xdr:col>
                    <xdr:colOff>99060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90" name="Check Box 298">
              <controlPr defaultSize="0" autoFill="0" autoLine="0" autoPict="0">
                <anchor moveWithCells="1">
                  <from>
                    <xdr:col>13</xdr:col>
                    <xdr:colOff>30480</xdr:colOff>
                    <xdr:row>28</xdr:row>
                    <xdr:rowOff>30480</xdr:rowOff>
                  </from>
                  <to>
                    <xdr:col>14</xdr:col>
                    <xdr:colOff>152400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91" name="Check Box 299">
              <controlPr defaultSize="0" autoFill="0" autoLine="0" autoPict="0">
                <anchor moveWithCells="1">
                  <from>
                    <xdr:col>15</xdr:col>
                    <xdr:colOff>121920</xdr:colOff>
                    <xdr:row>28</xdr:row>
                    <xdr:rowOff>30480</xdr:rowOff>
                  </from>
                  <to>
                    <xdr:col>17</xdr:col>
                    <xdr:colOff>68580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92" name="Check Box 300">
              <controlPr defaultSize="0" autoFill="0" autoLine="0" autoPict="0">
                <anchor moveWithCells="1">
                  <from>
                    <xdr:col>18</xdr:col>
                    <xdr:colOff>7620</xdr:colOff>
                    <xdr:row>28</xdr:row>
                    <xdr:rowOff>30480</xdr:rowOff>
                  </from>
                  <to>
                    <xdr:col>19</xdr:col>
                    <xdr:colOff>137160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93" name="Check Box 301">
              <controlPr defaultSize="0" autoFill="0" autoLine="0" autoPict="0">
                <anchor moveWithCells="1">
                  <from>
                    <xdr:col>22</xdr:col>
                    <xdr:colOff>30480</xdr:colOff>
                    <xdr:row>79</xdr:row>
                    <xdr:rowOff>0</xdr:rowOff>
                  </from>
                  <to>
                    <xdr:col>23</xdr:col>
                    <xdr:colOff>38100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94" name="Check Box 302">
              <controlPr defaultSize="0" autoFill="0" autoLine="0" autoPict="0">
                <anchor moveWithCells="1">
                  <from>
                    <xdr:col>22</xdr:col>
                    <xdr:colOff>30480</xdr:colOff>
                    <xdr:row>79</xdr:row>
                    <xdr:rowOff>0</xdr:rowOff>
                  </from>
                  <to>
                    <xdr:col>23</xdr:col>
                    <xdr:colOff>38100</xdr:colOff>
                    <xdr:row>80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95" name="Check Box 303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22860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96" name="Check Box 304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97" name="Check Box 305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98" name="Check Box 306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22860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99" name="Check Box 307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22860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00" name="Check Box 308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01" name="Check Box 309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02" name="Check Box 310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22860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03" name="Check Box 311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198120</xdr:rowOff>
                  </from>
                  <to>
                    <xdr:col>23</xdr:col>
                    <xdr:colOff>38100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104" name="Check Box 312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105" name="Check Box 313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06" name="Check Box 314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22860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07" name="Check Box 315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22860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08" name="Check Box 316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109" name="Check Box 317">
              <controlPr defaultSize="0" autoFill="0" autoLine="0" autoPict="0">
                <anchor moveWithCells="1">
                  <from>
                    <xdr:col>22</xdr:col>
                    <xdr:colOff>30480</xdr:colOff>
                    <xdr:row>80</xdr:row>
                    <xdr:rowOff>0</xdr:rowOff>
                  </from>
                  <to>
                    <xdr:col>23</xdr:col>
                    <xdr:colOff>38100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110" name="Check Box 318">
              <controlPr defaultSize="0" autoFill="0" autoLine="0" autoPict="0">
                <anchor moveWithCells="1">
                  <from>
                    <xdr:col>22</xdr:col>
                    <xdr:colOff>38100</xdr:colOff>
                    <xdr:row>80</xdr:row>
                    <xdr:rowOff>198120</xdr:rowOff>
                  </from>
                  <to>
                    <xdr:col>23</xdr:col>
                    <xdr:colOff>38100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111" name="Check Box 319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198120</xdr:rowOff>
                  </from>
                  <to>
                    <xdr:col>23</xdr:col>
                    <xdr:colOff>22860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112" name="Check Box 320">
              <controlPr defaultSize="0" autoFill="0" autoLine="0" autoPict="0">
                <anchor moveWithCells="1">
                  <from>
                    <xdr:col>22</xdr:col>
                    <xdr:colOff>30480</xdr:colOff>
                    <xdr:row>81</xdr:row>
                    <xdr:rowOff>198120</xdr:rowOff>
                  </from>
                  <to>
                    <xdr:col>23</xdr:col>
                    <xdr:colOff>22860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113" name="Check Box 321">
              <controlPr defaultSize="0" autoFill="0" autoLine="0" autoPict="0">
                <anchor moveWithCells="1">
                  <from>
                    <xdr:col>22</xdr:col>
                    <xdr:colOff>30480</xdr:colOff>
                    <xdr:row>82</xdr:row>
                    <xdr:rowOff>190500</xdr:rowOff>
                  </from>
                  <to>
                    <xdr:col>23</xdr:col>
                    <xdr:colOff>22860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114" name="Check Box 322">
              <controlPr defaultSize="0" autoFill="0" autoLine="0" autoPict="0">
                <anchor moveWithCells="1">
                  <from>
                    <xdr:col>22</xdr:col>
                    <xdr:colOff>30480</xdr:colOff>
                    <xdr:row>82</xdr:row>
                    <xdr:rowOff>190500</xdr:rowOff>
                  </from>
                  <to>
                    <xdr:col>23</xdr:col>
                    <xdr:colOff>22860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115" name="Check Box 323">
              <controlPr defaultSize="0" autoFill="0" autoLine="0" autoPict="0">
                <anchor moveWithCells="1">
                  <from>
                    <xdr:col>22</xdr:col>
                    <xdr:colOff>30480</xdr:colOff>
                    <xdr:row>83</xdr:row>
                    <xdr:rowOff>198120</xdr:rowOff>
                  </from>
                  <to>
                    <xdr:col>23</xdr:col>
                    <xdr:colOff>22860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116" name="Check Box 324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198120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117" name="Check Box 325">
              <controlPr defaultSize="0" autoFill="0" autoLine="0" autoPict="0">
                <anchor moveWithCells="1">
                  <from>
                    <xdr:col>22</xdr:col>
                    <xdr:colOff>30480</xdr:colOff>
                    <xdr:row>83</xdr:row>
                    <xdr:rowOff>198120</xdr:rowOff>
                  </from>
                  <to>
                    <xdr:col>23</xdr:col>
                    <xdr:colOff>22860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118" name="Check Box 326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198120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119" name="Check Box 327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198120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120" name="Check Box 328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190500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121" name="Check Box 329">
              <controlPr defaultSize="0" autoFill="0" autoLine="0" autoPict="0">
                <anchor moveWithCells="1">
                  <from>
                    <xdr:col>22</xdr:col>
                    <xdr:colOff>30480</xdr:colOff>
                    <xdr:row>85</xdr:row>
                    <xdr:rowOff>198120</xdr:rowOff>
                  </from>
                  <to>
                    <xdr:col>23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122" name="Check Box 330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198120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123" name="Check Box 331">
              <controlPr defaultSize="0" autoFill="0" autoLine="0" autoPict="0">
                <anchor moveWithCells="1">
                  <from>
                    <xdr:col>22</xdr:col>
                    <xdr:colOff>30480</xdr:colOff>
                    <xdr:row>85</xdr:row>
                    <xdr:rowOff>198120</xdr:rowOff>
                  </from>
                  <to>
                    <xdr:col>23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124" name="Check Box 332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198120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125" name="Check Box 333">
              <controlPr defaultSize="0" autoFill="0" autoLine="0" autoPict="0">
                <anchor moveWithCells="1">
                  <from>
                    <xdr:col>22</xdr:col>
                    <xdr:colOff>30480</xdr:colOff>
                    <xdr:row>85</xdr:row>
                    <xdr:rowOff>198120</xdr:rowOff>
                  </from>
                  <to>
                    <xdr:col>23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126" name="Check Box 334">
              <controlPr defaultSize="0" autoFill="0" autoLine="0" autoPict="0">
                <anchor moveWithCells="1">
                  <from>
                    <xdr:col>22</xdr:col>
                    <xdr:colOff>30480</xdr:colOff>
                    <xdr:row>85</xdr:row>
                    <xdr:rowOff>198120</xdr:rowOff>
                  </from>
                  <to>
                    <xdr:col>23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127" name="Check Box 335">
              <controlPr defaultSize="0" autoFill="0" autoLine="0" autoPict="0">
                <anchor moveWithCells="1">
                  <from>
                    <xdr:col>22</xdr:col>
                    <xdr:colOff>30480</xdr:colOff>
                    <xdr:row>83</xdr:row>
                    <xdr:rowOff>198120</xdr:rowOff>
                  </from>
                  <to>
                    <xdr:col>23</xdr:col>
                    <xdr:colOff>22860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128" name="Check Box 336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190500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129" name="Check Box 337">
              <controlPr defaultSize="0" autoFill="0" autoLine="0" autoPict="0">
                <anchor moveWithCells="1">
                  <from>
                    <xdr:col>22</xdr:col>
                    <xdr:colOff>30480</xdr:colOff>
                    <xdr:row>83</xdr:row>
                    <xdr:rowOff>190500</xdr:rowOff>
                  </from>
                  <to>
                    <xdr:col>23</xdr:col>
                    <xdr:colOff>22860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130" name="Check Box 338">
              <controlPr defaultSize="0" autoFill="0" autoLine="0" autoPict="0">
                <anchor moveWithCells="1">
                  <from>
                    <xdr:col>22</xdr:col>
                    <xdr:colOff>30480</xdr:colOff>
                    <xdr:row>83</xdr:row>
                    <xdr:rowOff>190500</xdr:rowOff>
                  </from>
                  <to>
                    <xdr:col>23</xdr:col>
                    <xdr:colOff>22860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131" name="Check Box 339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198120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132" name="Check Box 340">
              <controlPr defaultSize="0" autoFill="0" autoLine="0" autoPict="0">
                <anchor moveWithCells="1">
                  <from>
                    <xdr:col>22</xdr:col>
                    <xdr:colOff>30480</xdr:colOff>
                    <xdr:row>84</xdr:row>
                    <xdr:rowOff>198120</xdr:rowOff>
                  </from>
                  <to>
                    <xdr:col>23</xdr:col>
                    <xdr:colOff>22860</xdr:colOff>
                    <xdr:row>86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topLeftCell="A13" workbookViewId="0">
      <selection activeCell="D31" sqref="D31"/>
    </sheetView>
  </sheetViews>
  <sheetFormatPr baseColWidth="10" defaultRowHeight="13.2" x14ac:dyDescent="0.25"/>
  <cols>
    <col min="2" max="2" width="14.88671875" customWidth="1"/>
    <col min="3" max="3" width="14.109375" customWidth="1"/>
    <col min="4" max="4" width="11.88671875" customWidth="1"/>
    <col min="5" max="5" width="14.5546875" customWidth="1"/>
    <col min="7" max="7" width="15.6640625" customWidth="1"/>
    <col min="8" max="8" width="8.109375" customWidth="1"/>
    <col min="9" max="9" width="18" customWidth="1"/>
    <col min="10" max="10" width="8.109375" customWidth="1"/>
  </cols>
  <sheetData>
    <row r="3" spans="1:20" x14ac:dyDescent="0.25">
      <c r="A3" s="7" t="s">
        <v>90</v>
      </c>
      <c r="B3" s="6"/>
      <c r="C3" s="7" t="s">
        <v>90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5">
      <c r="A4" s="155" t="s">
        <v>751</v>
      </c>
      <c r="B4" s="156"/>
      <c r="C4" s="155" t="s">
        <v>747</v>
      </c>
      <c r="D4" s="156"/>
      <c r="E4" s="155" t="s">
        <v>748</v>
      </c>
      <c r="F4" s="156"/>
      <c r="G4" s="155" t="s">
        <v>749</v>
      </c>
      <c r="H4" s="156"/>
      <c r="I4" s="157" t="s">
        <v>750</v>
      </c>
      <c r="J4" s="156"/>
      <c r="K4" s="156"/>
      <c r="L4" s="156" t="s">
        <v>187</v>
      </c>
      <c r="M4" s="156"/>
      <c r="N4" s="156" t="s">
        <v>196</v>
      </c>
      <c r="O4" s="156"/>
      <c r="P4" s="156" t="s">
        <v>202</v>
      </c>
      <c r="Q4" s="156"/>
      <c r="S4" s="156" t="s">
        <v>189</v>
      </c>
      <c r="T4" s="156"/>
    </row>
    <row r="5" spans="1:20" x14ac:dyDescent="0.25">
      <c r="A5" s="33" t="b">
        <v>0</v>
      </c>
      <c r="B5" s="32" t="str">
        <f>IF(A5=TRUE,"Quantitativ u.qualitativ (sehr) gut.",IF(A5=FALSE,""))</f>
        <v/>
      </c>
      <c r="C5" s="33" t="b">
        <v>0</v>
      </c>
      <c r="D5" s="32" t="str">
        <f>IF(C5=TRUE,"Detaillierte Beschreibung- Anforderung der Rahmenbedingungen voll erfüllt.",IF(C5=FALSE,""))</f>
        <v/>
      </c>
      <c r="E5" s="33" t="b">
        <v>0</v>
      </c>
      <c r="F5" s="32" t="str">
        <f>IF(E5=TRUE,"Detaillierte Beschreibung - Anforderung der Rahmenbedingung voll  erfüllt.",IF(E5=FALSE,""))</f>
        <v/>
      </c>
      <c r="G5" s="33" t="b">
        <v>0</v>
      </c>
      <c r="H5" s="32" t="str">
        <f>IF(G5=TRUE,"Aussagekräftig, passend zu  Rahmendbed..",IF(G5=FALSE,""))</f>
        <v/>
      </c>
      <c r="I5" s="6" t="b">
        <v>0</v>
      </c>
      <c r="J5" s="95" t="str">
        <f>IF(I5=TRUE,"Einbindung in reg. Strukturen vorhanden.",IF(I5=FALSE,""))</f>
        <v/>
      </c>
      <c r="K5" s="6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5">
      <c r="A6" s="33" t="b">
        <v>0</v>
      </c>
      <c r="B6" s="32" t="str">
        <f>IF(A6=TRUE,"Zu allgemein.",IF(A6=FALSE,""))</f>
        <v/>
      </c>
      <c r="C6" s="33" t="b">
        <v>0</v>
      </c>
      <c r="D6" s="32" t="str">
        <f>IF(C6=TRUE,"Oberflächlich-ungenaue Beschreibung.",IF(C6=FALSE,""))</f>
        <v/>
      </c>
      <c r="E6" s="33" t="b">
        <v>0</v>
      </c>
      <c r="F6" s="32" t="str">
        <f>IF(E6=TRUE,"Ungenaue Beschreibung, nur Ansätze.",IF(E6=FALSE,""))</f>
        <v/>
      </c>
      <c r="G6" s="33" t="b">
        <v>0</v>
      </c>
      <c r="H6" s="32" t="str">
        <f>IF(G6=TRUE,"Ungenaue Beschreibung",IF(G6=FALSE,""))</f>
        <v/>
      </c>
      <c r="I6" s="6" t="b">
        <v>0</v>
      </c>
      <c r="J6" s="95" t="str">
        <f>IF(I6=TRUE,"Allgemeine Aussagen, unkonkret.",IF(I6=FALSE,""))</f>
        <v/>
      </c>
      <c r="K6" s="6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5">
      <c r="A7" s="33" t="b">
        <v>0</v>
      </c>
      <c r="B7" s="32" t="str">
        <f>IF(A7=TRUE,"Erhebliche Defizite.",IF(A7=FALSE,""))</f>
        <v/>
      </c>
      <c r="C7" s="33" t="b">
        <v>0</v>
      </c>
      <c r="D7" s="32" t="str">
        <f>IF(C7=TRUE,"Erhebliche Defizite.",IF(C7=FALSE,""))</f>
        <v/>
      </c>
      <c r="E7" s="33" t="b">
        <v>0</v>
      </c>
      <c r="F7" s="32" t="str">
        <f>IF(E7=TRUE,"Erhebliche Defizite.",IF(E7=FALSE,""))</f>
        <v/>
      </c>
      <c r="G7" s="33" t="b">
        <v>0</v>
      </c>
      <c r="H7" s="32" t="str">
        <f>IF(G7=TRUE,"Erhebliche Defizite.",IF(G7=FALSE,""))</f>
        <v/>
      </c>
      <c r="I7" s="6" t="b">
        <v>0</v>
      </c>
      <c r="J7" s="95" t="str">
        <f>IF(I7=TRUE,"Erhebliche Defizite.",IF(I7=FALSE,""))</f>
        <v/>
      </c>
      <c r="K7" s="6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5">
      <c r="A8" s="6" t="s">
        <v>137</v>
      </c>
      <c r="B8" s="6" t="str">
        <f>CONCATENATE(B5,B6,B7)</f>
        <v/>
      </c>
      <c r="C8" s="6" t="s">
        <v>137</v>
      </c>
      <c r="D8" s="6" t="str">
        <f>CONCATENATE(D5,D6,D7)</f>
        <v/>
      </c>
      <c r="E8" s="6" t="s">
        <v>137</v>
      </c>
      <c r="F8" s="6" t="str">
        <f>CONCATENATE(F5,F6,F7)</f>
        <v/>
      </c>
      <c r="G8" s="6" t="s">
        <v>137</v>
      </c>
      <c r="H8" s="6" t="str">
        <f>CONCATENATE(H5,H6,H7)</f>
        <v/>
      </c>
      <c r="I8" s="6" t="s">
        <v>137</v>
      </c>
      <c r="J8" s="6" t="str">
        <f>CONCATENATE(J5,J6,J7)</f>
        <v/>
      </c>
      <c r="K8" s="6"/>
      <c r="L8" s="6" t="s">
        <v>137</v>
      </c>
      <c r="M8" s="6" t="str">
        <f>CONCATENATE(M5,M6,M7)</f>
        <v>Aufbau, Zeitplan, Ablauf schlüssig.</v>
      </c>
      <c r="N8" s="6" t="s">
        <v>137</v>
      </c>
      <c r="O8" s="6" t="str">
        <f>CONCATENATE(O5,O6,O7)</f>
        <v>Einbindung in reg. Strukturen vorhanden.</v>
      </c>
      <c r="P8" s="6" t="s">
        <v>137</v>
      </c>
      <c r="Q8" s="6" t="str">
        <f>CONCATENATE(Q5,Q6,Q7)</f>
        <v/>
      </c>
      <c r="S8" s="6" t="s">
        <v>137</v>
      </c>
      <c r="T8" s="6" t="str">
        <f>CONCATENATE(T5,T6,T7)</f>
        <v/>
      </c>
    </row>
    <row r="11" spans="1:20" x14ac:dyDescent="0.25">
      <c r="A11" t="s">
        <v>146</v>
      </c>
    </row>
    <row r="12" spans="1:20" s="2" customFormat="1" ht="81" customHeight="1" x14ac:dyDescent="0.25">
      <c r="A12" s="2" t="s">
        <v>751</v>
      </c>
      <c r="B12" s="2" t="s">
        <v>747</v>
      </c>
      <c r="C12" s="2" t="s">
        <v>748</v>
      </c>
      <c r="D12" s="2" t="s">
        <v>749</v>
      </c>
      <c r="E12" s="2" t="s">
        <v>750</v>
      </c>
      <c r="F12" s="2" t="s">
        <v>187</v>
      </c>
      <c r="G12" s="2" t="s">
        <v>196</v>
      </c>
      <c r="H12" s="2" t="s">
        <v>198</v>
      </c>
      <c r="J12" s="2" t="s">
        <v>197</v>
      </c>
    </row>
    <row r="13" spans="1:20" x14ac:dyDescent="0.25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5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5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5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5">
      <c r="C19" t="s">
        <v>52</v>
      </c>
      <c r="D19">
        <f>Beginn</f>
        <v>0</v>
      </c>
    </row>
    <row r="20" spans="3:4" x14ac:dyDescent="0.25">
      <c r="C20" t="s">
        <v>53</v>
      </c>
      <c r="D20">
        <f>Ende</f>
        <v>0</v>
      </c>
    </row>
    <row r="21" spans="3:4" x14ac:dyDescent="0.25">
      <c r="D21">
        <f>DATEDIF(Beginn,Ende,"M")+1</f>
        <v>1</v>
      </c>
    </row>
    <row r="24" spans="3:4" x14ac:dyDescent="0.25">
      <c r="D24" t="s">
        <v>143</v>
      </c>
    </row>
    <row r="25" spans="3:4" x14ac:dyDescent="0.25">
      <c r="D25" t="s">
        <v>622</v>
      </c>
    </row>
    <row r="28" spans="3:4" x14ac:dyDescent="0.25">
      <c r="D28" s="6" t="s">
        <v>147</v>
      </c>
    </row>
    <row r="29" spans="3:4" x14ac:dyDescent="0.25">
      <c r="D29" s="6" t="s">
        <v>138</v>
      </c>
    </row>
    <row r="30" spans="3:4" x14ac:dyDescent="0.25">
      <c r="D30" s="6" t="s">
        <v>139</v>
      </c>
    </row>
    <row r="31" spans="3:4" x14ac:dyDescent="0.25">
      <c r="D31" s="130" t="s">
        <v>954</v>
      </c>
    </row>
    <row r="32" spans="3:4" x14ac:dyDescent="0.25">
      <c r="D32" s="6" t="s">
        <v>623</v>
      </c>
    </row>
    <row r="36" spans="4:4" x14ac:dyDescent="0.25">
      <c r="D36" s="6" t="s">
        <v>657</v>
      </c>
    </row>
    <row r="37" spans="4:4" x14ac:dyDescent="0.25">
      <c r="D37" s="6" t="s">
        <v>658</v>
      </c>
    </row>
    <row r="38" spans="4:4" x14ac:dyDescent="0.25">
      <c r="D38" s="6" t="s">
        <v>659</v>
      </c>
    </row>
    <row r="39" spans="4:4" x14ac:dyDescent="0.25">
      <c r="D39" s="6" t="s">
        <v>660</v>
      </c>
    </row>
    <row r="40" spans="4:4" x14ac:dyDescent="0.25">
      <c r="D40" s="6" t="s">
        <v>661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T22"/>
  <sheetViews>
    <sheetView workbookViewId="0">
      <selection activeCell="A3" sqref="A3"/>
    </sheetView>
  </sheetViews>
  <sheetFormatPr baseColWidth="10" defaultRowHeight="13.2" x14ac:dyDescent="0.25"/>
  <cols>
    <col min="1" max="1" width="7.44140625" style="158" customWidth="1"/>
    <col min="2" max="2" width="14.33203125" customWidth="1"/>
    <col min="3" max="3" width="10.109375" customWidth="1"/>
    <col min="4" max="4" width="7.33203125" customWidth="1"/>
    <col min="5" max="5" width="6.6640625" customWidth="1"/>
    <col min="6" max="6" width="8.33203125" customWidth="1"/>
    <col min="7" max="7" width="9" customWidth="1"/>
    <col min="8" max="9" width="15.88671875" customWidth="1"/>
    <col min="10" max="12" width="19.88671875" customWidth="1"/>
    <col min="13" max="13" width="11.44140625" style="55" customWidth="1"/>
    <col min="14" max="16" width="12.6640625" style="55" customWidth="1"/>
    <col min="17" max="17" width="14.33203125" customWidth="1"/>
    <col min="18" max="18" width="8" customWidth="1"/>
    <col min="19" max="19" width="15.33203125" customWidth="1"/>
    <col min="20" max="21" width="9.109375" customWidth="1"/>
    <col min="22" max="22" width="12" customWidth="1"/>
    <col min="23" max="23" width="12.5546875" customWidth="1"/>
    <col min="24" max="25" width="8" customWidth="1"/>
    <col min="26" max="31" width="17" customWidth="1"/>
    <col min="32" max="32" width="6" customWidth="1"/>
    <col min="33" max="34" width="18.109375" customWidth="1"/>
    <col min="35" max="35" width="10.33203125" customWidth="1"/>
    <col min="36" max="38" width="6.44140625" customWidth="1"/>
    <col min="39" max="39" width="7.88671875" customWidth="1"/>
    <col min="40" max="40" width="14.44140625" customWidth="1"/>
    <col min="41" max="42" width="10.88671875" customWidth="1"/>
    <col min="44" max="144" width="11.44140625" style="100" customWidth="1"/>
  </cols>
  <sheetData>
    <row r="1" spans="1:150" x14ac:dyDescent="0.25">
      <c r="B1" t="s">
        <v>541</v>
      </c>
      <c r="C1" s="129" t="s">
        <v>686</v>
      </c>
      <c r="J1" t="s">
        <v>262</v>
      </c>
      <c r="K1" s="129" t="s">
        <v>263</v>
      </c>
      <c r="L1" t="s">
        <v>264</v>
      </c>
      <c r="M1" s="55" t="s">
        <v>52</v>
      </c>
      <c r="N1" s="55" t="s">
        <v>53</v>
      </c>
      <c r="O1" s="166" t="s">
        <v>530</v>
      </c>
      <c r="P1" s="166" t="s">
        <v>826</v>
      </c>
      <c r="Q1" t="s">
        <v>265</v>
      </c>
      <c r="R1" t="s">
        <v>266</v>
      </c>
      <c r="S1" t="s">
        <v>267</v>
      </c>
      <c r="T1" t="s">
        <v>268</v>
      </c>
      <c r="U1" s="129" t="s">
        <v>793</v>
      </c>
      <c r="V1" s="129" t="s">
        <v>248</v>
      </c>
      <c r="W1" s="129" t="s">
        <v>249</v>
      </c>
      <c r="X1" t="s">
        <v>257</v>
      </c>
      <c r="Y1" t="s">
        <v>269</v>
      </c>
      <c r="Z1" t="s">
        <v>328</v>
      </c>
      <c r="AA1" t="s">
        <v>759</v>
      </c>
      <c r="AB1" t="s">
        <v>762</v>
      </c>
      <c r="AC1" t="s">
        <v>301</v>
      </c>
      <c r="AD1" t="s">
        <v>402</v>
      </c>
      <c r="AE1" t="s">
        <v>299</v>
      </c>
      <c r="AF1" t="s">
        <v>580</v>
      </c>
      <c r="AG1" t="s">
        <v>214</v>
      </c>
      <c r="AH1" s="129" t="s">
        <v>855</v>
      </c>
      <c r="AI1" t="s">
        <v>345</v>
      </c>
      <c r="AJ1" t="s">
        <v>346</v>
      </c>
      <c r="AK1" t="s">
        <v>270</v>
      </c>
      <c r="AL1" t="s">
        <v>271</v>
      </c>
      <c r="AM1" s="129" t="s">
        <v>927</v>
      </c>
      <c r="AN1" t="s">
        <v>364</v>
      </c>
      <c r="AO1" t="s">
        <v>174</v>
      </c>
      <c r="AP1" t="s">
        <v>348</v>
      </c>
      <c r="AQ1" t="s">
        <v>354</v>
      </c>
      <c r="AR1" s="100" t="s">
        <v>355</v>
      </c>
      <c r="AS1" s="100" t="s">
        <v>356</v>
      </c>
      <c r="AT1" s="100" t="s">
        <v>787</v>
      </c>
      <c r="AU1" s="100" t="s">
        <v>770</v>
      </c>
      <c r="AV1" s="100" t="s">
        <v>221</v>
      </c>
      <c r="AW1" s="100" t="s">
        <v>216</v>
      </c>
      <c r="AX1" s="100" t="s">
        <v>217</v>
      </c>
      <c r="AY1" s="100" t="s">
        <v>771</v>
      </c>
      <c r="AZ1" s="100" t="s">
        <v>772</v>
      </c>
      <c r="BA1" s="144" t="s">
        <v>874</v>
      </c>
      <c r="BB1" s="144" t="s">
        <v>875</v>
      </c>
      <c r="BC1" s="144" t="s">
        <v>876</v>
      </c>
      <c r="BD1" s="144" t="s">
        <v>877</v>
      </c>
      <c r="BE1" s="100" t="s">
        <v>773</v>
      </c>
      <c r="BF1" s="144" t="s">
        <v>879</v>
      </c>
      <c r="BG1" s="144" t="s">
        <v>880</v>
      </c>
      <c r="BH1" s="144" t="s">
        <v>881</v>
      </c>
      <c r="BI1" s="144" t="s">
        <v>882</v>
      </c>
      <c r="BJ1" s="144" t="s">
        <v>883</v>
      </c>
      <c r="BK1" s="144" t="s">
        <v>788</v>
      </c>
      <c r="BL1" s="144" t="s">
        <v>789</v>
      </c>
      <c r="BM1" s="144" t="s">
        <v>790</v>
      </c>
      <c r="BN1" s="144" t="s">
        <v>791</v>
      </c>
      <c r="BO1" s="144" t="s">
        <v>792</v>
      </c>
      <c r="BP1" s="144" t="s">
        <v>884</v>
      </c>
      <c r="BQ1" s="144" t="s">
        <v>886</v>
      </c>
      <c r="BR1" s="144" t="s">
        <v>887</v>
      </c>
      <c r="BS1" s="144" t="s">
        <v>888</v>
      </c>
      <c r="BT1" s="144" t="s">
        <v>889</v>
      </c>
      <c r="BU1" s="144" t="s">
        <v>805</v>
      </c>
      <c r="BV1" s="144" t="s">
        <v>806</v>
      </c>
      <c r="BW1" s="144" t="s">
        <v>807</v>
      </c>
      <c r="BX1" s="144" t="s">
        <v>808</v>
      </c>
      <c r="BY1" s="144" t="s">
        <v>809</v>
      </c>
      <c r="BZ1" s="144" t="s">
        <v>813</v>
      </c>
      <c r="CA1" s="144" t="s">
        <v>814</v>
      </c>
      <c r="CB1" s="144" t="s">
        <v>815</v>
      </c>
      <c r="CC1" s="144" t="s">
        <v>816</v>
      </c>
      <c r="CD1" s="144" t="s">
        <v>817</v>
      </c>
      <c r="CE1" s="144" t="s">
        <v>890</v>
      </c>
      <c r="CF1" s="144" t="s">
        <v>892</v>
      </c>
      <c r="CG1" s="144" t="s">
        <v>893</v>
      </c>
      <c r="CH1" s="144" t="s">
        <v>894</v>
      </c>
      <c r="CI1" s="144" t="s">
        <v>895</v>
      </c>
      <c r="CJ1" s="100" t="s">
        <v>719</v>
      </c>
      <c r="CK1" s="100" t="s">
        <v>516</v>
      </c>
      <c r="CL1" s="100" t="s">
        <v>518</v>
      </c>
      <c r="CM1" s="100" t="s">
        <v>519</v>
      </c>
      <c r="CN1" s="100" t="s">
        <v>779</v>
      </c>
      <c r="CO1" s="100" t="s">
        <v>713</v>
      </c>
      <c r="CP1" s="100" t="s">
        <v>714</v>
      </c>
      <c r="CQ1" s="100" t="s">
        <v>715</v>
      </c>
      <c r="CR1" s="100" t="s">
        <v>774</v>
      </c>
      <c r="CS1" s="100" t="s">
        <v>775</v>
      </c>
      <c r="CT1" s="144" t="s">
        <v>767</v>
      </c>
      <c r="CU1" s="144" t="s">
        <v>766</v>
      </c>
      <c r="CV1" s="144" t="s">
        <v>407</v>
      </c>
      <c r="CW1" s="144" t="s">
        <v>409</v>
      </c>
      <c r="CX1" s="144" t="s">
        <v>776</v>
      </c>
      <c r="CY1" s="100" t="s">
        <v>716</v>
      </c>
      <c r="CZ1" s="100" t="s">
        <v>717</v>
      </c>
      <c r="DA1" s="100" t="s">
        <v>718</v>
      </c>
      <c r="DB1" s="100" t="s">
        <v>777</v>
      </c>
      <c r="DC1" s="100" t="s">
        <v>778</v>
      </c>
      <c r="DD1" s="100" t="s">
        <v>9</v>
      </c>
      <c r="DE1" s="100" t="s">
        <v>4</v>
      </c>
      <c r="DF1" s="100" t="s">
        <v>6</v>
      </c>
      <c r="DG1" s="144" t="s">
        <v>860</v>
      </c>
      <c r="DH1" s="144" t="s">
        <v>896</v>
      </c>
      <c r="DI1" s="100" t="s">
        <v>421</v>
      </c>
      <c r="DJ1" s="100" t="s">
        <v>235</v>
      </c>
      <c r="DK1" s="100" t="s">
        <v>236</v>
      </c>
      <c r="DL1" s="100" t="s">
        <v>238</v>
      </c>
      <c r="DM1" s="100" t="s">
        <v>780</v>
      </c>
      <c r="DN1" s="100" t="s">
        <v>536</v>
      </c>
      <c r="DO1" s="100" t="s">
        <v>30</v>
      </c>
      <c r="DP1" s="100" t="s">
        <v>32</v>
      </c>
      <c r="DQ1" s="100" t="s">
        <v>33</v>
      </c>
      <c r="DR1" s="100" t="s">
        <v>782</v>
      </c>
      <c r="DS1" s="100" t="s">
        <v>436</v>
      </c>
      <c r="DT1" s="100" t="s">
        <v>726</v>
      </c>
      <c r="DU1" s="100" t="s">
        <v>727</v>
      </c>
      <c r="DV1" s="100" t="s">
        <v>785</v>
      </c>
      <c r="DW1" s="100" t="s">
        <v>786</v>
      </c>
      <c r="DX1" s="100" t="s">
        <v>723</v>
      </c>
      <c r="DY1" s="100" t="s">
        <v>724</v>
      </c>
      <c r="DZ1" s="100" t="s">
        <v>16</v>
      </c>
      <c r="EA1" s="100" t="s">
        <v>17</v>
      </c>
      <c r="EB1" s="100" t="s">
        <v>781</v>
      </c>
      <c r="EC1" s="100" t="s">
        <v>429</v>
      </c>
      <c r="ED1" s="100" t="s">
        <v>424</v>
      </c>
      <c r="EE1" s="100" t="s">
        <v>426</v>
      </c>
      <c r="EF1" s="100" t="s">
        <v>427</v>
      </c>
      <c r="EG1" s="100" t="s">
        <v>784</v>
      </c>
      <c r="EH1" s="100" t="s">
        <v>528</v>
      </c>
      <c r="EI1" s="100" t="s">
        <v>523</v>
      </c>
      <c r="EJ1" s="100" t="s">
        <v>525</v>
      </c>
      <c r="EK1" s="100" t="s">
        <v>526</v>
      </c>
      <c r="EL1" s="100" t="s">
        <v>783</v>
      </c>
      <c r="EM1" s="144" t="s">
        <v>436</v>
      </c>
      <c r="EN1" s="100" t="s">
        <v>360</v>
      </c>
      <c r="EO1" t="s">
        <v>461</v>
      </c>
      <c r="EQ1" s="144"/>
      <c r="ER1" s="100"/>
      <c r="ES1" s="100"/>
      <c r="ET1" s="100"/>
    </row>
    <row r="2" spans="1:150" s="4" customFormat="1" ht="60" customHeight="1" x14ac:dyDescent="0.25">
      <c r="A2" s="43" t="s">
        <v>366</v>
      </c>
      <c r="B2" s="48" t="s">
        <v>164</v>
      </c>
      <c r="C2" s="48" t="s">
        <v>685</v>
      </c>
      <c r="D2" s="45" t="s">
        <v>679</v>
      </c>
      <c r="E2" s="45" t="s">
        <v>678</v>
      </c>
      <c r="F2" s="45" t="s">
        <v>677</v>
      </c>
      <c r="G2" s="45" t="s">
        <v>676</v>
      </c>
      <c r="H2" s="48" t="s">
        <v>706</v>
      </c>
      <c r="I2" s="48" t="s">
        <v>844</v>
      </c>
      <c r="J2" s="40" t="s">
        <v>89</v>
      </c>
      <c r="K2" s="40" t="s">
        <v>212</v>
      </c>
      <c r="L2" s="40" t="s">
        <v>166</v>
      </c>
      <c r="M2" s="96" t="s">
        <v>52</v>
      </c>
      <c r="N2" s="96" t="s">
        <v>53</v>
      </c>
      <c r="O2" s="96" t="s">
        <v>769</v>
      </c>
      <c r="P2" s="96" t="s">
        <v>825</v>
      </c>
      <c r="Q2" s="40" t="s">
        <v>93</v>
      </c>
      <c r="R2" s="43" t="s">
        <v>39</v>
      </c>
      <c r="S2" s="44" t="s">
        <v>40</v>
      </c>
      <c r="T2" s="44" t="s">
        <v>48</v>
      </c>
      <c r="U2" s="44" t="s">
        <v>166</v>
      </c>
      <c r="V2" s="44" t="s">
        <v>46</v>
      </c>
      <c r="W2" s="44" t="s">
        <v>98</v>
      </c>
      <c r="X2" s="44" t="s">
        <v>49</v>
      </c>
      <c r="Y2" s="39" t="s">
        <v>41</v>
      </c>
      <c r="Z2" s="40" t="s">
        <v>50</v>
      </c>
      <c r="AA2" s="40" t="s">
        <v>48</v>
      </c>
      <c r="AB2" s="40" t="s">
        <v>760</v>
      </c>
      <c r="AC2" s="40" t="s">
        <v>761</v>
      </c>
      <c r="AD2" s="40" t="s">
        <v>49</v>
      </c>
      <c r="AE2" s="40" t="s">
        <v>50</v>
      </c>
      <c r="AF2" s="45" t="s">
        <v>938</v>
      </c>
      <c r="AG2" s="45" t="s">
        <v>75</v>
      </c>
      <c r="AH2" s="45" t="s">
        <v>939</v>
      </c>
      <c r="AI2" s="45" t="s">
        <v>624</v>
      </c>
      <c r="AJ2" s="46" t="s">
        <v>72</v>
      </c>
      <c r="AK2" s="24" t="s">
        <v>74</v>
      </c>
      <c r="AL2" s="24" t="s">
        <v>73</v>
      </c>
      <c r="AM2" s="24" t="s">
        <v>929</v>
      </c>
      <c r="AN2" s="45" t="s">
        <v>47</v>
      </c>
      <c r="AO2" s="40" t="s">
        <v>930</v>
      </c>
      <c r="AP2" s="40" t="s">
        <v>175</v>
      </c>
      <c r="AQ2" s="40" t="s">
        <v>152</v>
      </c>
      <c r="AR2" s="138">
        <v>2024</v>
      </c>
      <c r="AS2" s="138">
        <v>2025</v>
      </c>
      <c r="AT2" s="138">
        <v>2026</v>
      </c>
      <c r="AU2" s="138">
        <v>2027</v>
      </c>
      <c r="AV2" s="24" t="s">
        <v>168</v>
      </c>
      <c r="AW2" s="138">
        <v>2024</v>
      </c>
      <c r="AX2" s="138">
        <v>2025</v>
      </c>
      <c r="AY2" s="138">
        <v>2026</v>
      </c>
      <c r="AZ2" s="138">
        <v>2027</v>
      </c>
      <c r="BA2" s="24" t="s">
        <v>873</v>
      </c>
      <c r="BB2" s="138">
        <v>2024</v>
      </c>
      <c r="BC2" s="138">
        <v>2025</v>
      </c>
      <c r="BD2" s="138">
        <v>2026</v>
      </c>
      <c r="BE2" s="138">
        <v>2027</v>
      </c>
      <c r="BF2" s="138" t="s">
        <v>878</v>
      </c>
      <c r="BG2" s="138">
        <v>2024</v>
      </c>
      <c r="BH2" s="138">
        <v>2025</v>
      </c>
      <c r="BI2" s="138">
        <v>2026</v>
      </c>
      <c r="BJ2" s="138">
        <v>2027</v>
      </c>
      <c r="BK2" s="138" t="s">
        <v>931</v>
      </c>
      <c r="BL2" s="138">
        <v>2024</v>
      </c>
      <c r="BM2" s="138">
        <v>2025</v>
      </c>
      <c r="BN2" s="138">
        <v>2026</v>
      </c>
      <c r="BO2" s="138">
        <v>2027</v>
      </c>
      <c r="BP2" s="138" t="s">
        <v>885</v>
      </c>
      <c r="BQ2" s="138">
        <v>2024</v>
      </c>
      <c r="BR2" s="138">
        <v>2025</v>
      </c>
      <c r="BS2" s="138">
        <v>2026</v>
      </c>
      <c r="BT2" s="138">
        <v>2027</v>
      </c>
      <c r="BU2" s="138" t="s">
        <v>932</v>
      </c>
      <c r="BV2" s="138">
        <v>2024</v>
      </c>
      <c r="BW2" s="138">
        <v>2025</v>
      </c>
      <c r="BX2" s="138">
        <v>2026</v>
      </c>
      <c r="BY2" s="138">
        <v>2027</v>
      </c>
      <c r="BZ2" s="138" t="s">
        <v>803</v>
      </c>
      <c r="CA2" s="138">
        <v>2024</v>
      </c>
      <c r="CB2" s="138">
        <v>2025</v>
      </c>
      <c r="CC2" s="138">
        <v>2026</v>
      </c>
      <c r="CD2" s="138">
        <v>2027</v>
      </c>
      <c r="CE2" s="138" t="s">
        <v>891</v>
      </c>
      <c r="CF2" s="138">
        <v>2024</v>
      </c>
      <c r="CG2" s="138">
        <v>2025</v>
      </c>
      <c r="CH2" s="138">
        <v>2026</v>
      </c>
      <c r="CI2" s="138">
        <v>2027</v>
      </c>
      <c r="CJ2" s="138" t="s">
        <v>804</v>
      </c>
      <c r="CK2" s="138">
        <v>2024</v>
      </c>
      <c r="CL2" s="138">
        <v>2025</v>
      </c>
      <c r="CM2" s="138">
        <v>2026</v>
      </c>
      <c r="CN2" s="138">
        <v>2027</v>
      </c>
      <c r="CO2" s="138" t="s">
        <v>720</v>
      </c>
      <c r="CP2" s="138">
        <v>2024</v>
      </c>
      <c r="CQ2" s="138">
        <v>2025</v>
      </c>
      <c r="CR2" s="138">
        <v>2026</v>
      </c>
      <c r="CS2" s="138">
        <v>2027</v>
      </c>
      <c r="CT2" s="138" t="s">
        <v>768</v>
      </c>
      <c r="CU2" s="138">
        <v>2024</v>
      </c>
      <c r="CV2" s="138">
        <v>2025</v>
      </c>
      <c r="CW2" s="138">
        <v>2026</v>
      </c>
      <c r="CX2" s="138">
        <v>2027</v>
      </c>
      <c r="CY2" s="138" t="s">
        <v>721</v>
      </c>
      <c r="CZ2" s="138">
        <v>2024</v>
      </c>
      <c r="DA2" s="138">
        <v>2025</v>
      </c>
      <c r="DB2" s="138">
        <v>2026</v>
      </c>
      <c r="DC2" s="138">
        <v>2027</v>
      </c>
      <c r="DD2" s="138" t="s">
        <v>722</v>
      </c>
      <c r="DE2" s="138">
        <v>2024</v>
      </c>
      <c r="DF2" s="138">
        <v>2025</v>
      </c>
      <c r="DG2" s="138">
        <v>2026</v>
      </c>
      <c r="DH2" s="138">
        <v>2027</v>
      </c>
      <c r="DI2" s="138" t="s">
        <v>821</v>
      </c>
      <c r="DJ2" s="138">
        <v>2024</v>
      </c>
      <c r="DK2" s="138">
        <v>2025</v>
      </c>
      <c r="DL2" s="138">
        <v>2026</v>
      </c>
      <c r="DM2" s="138">
        <v>2027</v>
      </c>
      <c r="DN2" s="138" t="s">
        <v>820</v>
      </c>
      <c r="DO2" s="138">
        <v>2024</v>
      </c>
      <c r="DP2" s="138">
        <v>2025</v>
      </c>
      <c r="DQ2" s="138">
        <v>2026</v>
      </c>
      <c r="DR2" s="138">
        <v>2027</v>
      </c>
      <c r="DS2" s="138" t="s">
        <v>818</v>
      </c>
      <c r="DT2" s="138">
        <v>2024</v>
      </c>
      <c r="DU2" s="138">
        <v>2025</v>
      </c>
      <c r="DV2" s="138">
        <v>2026</v>
      </c>
      <c r="DW2" s="138">
        <v>2027</v>
      </c>
      <c r="DX2" s="138" t="s">
        <v>819</v>
      </c>
      <c r="DY2" s="138">
        <v>2024</v>
      </c>
      <c r="DZ2" s="138">
        <v>2025</v>
      </c>
      <c r="EA2" s="138">
        <v>2026</v>
      </c>
      <c r="EB2" s="138">
        <v>2027</v>
      </c>
      <c r="EC2" s="138" t="s">
        <v>822</v>
      </c>
      <c r="ED2" s="138">
        <v>2024</v>
      </c>
      <c r="EE2" s="138">
        <v>2025</v>
      </c>
      <c r="EF2" s="138">
        <v>2026</v>
      </c>
      <c r="EG2" s="138">
        <v>2027</v>
      </c>
      <c r="EH2" s="138" t="s">
        <v>725</v>
      </c>
      <c r="EI2" s="138">
        <v>2024</v>
      </c>
      <c r="EJ2" s="138">
        <v>2025</v>
      </c>
      <c r="EK2" s="138">
        <v>2026</v>
      </c>
      <c r="EL2" s="138">
        <v>2027</v>
      </c>
      <c r="EM2" s="138" t="s">
        <v>745</v>
      </c>
      <c r="EN2" s="101" t="s">
        <v>182</v>
      </c>
      <c r="EO2" s="40" t="s">
        <v>933</v>
      </c>
      <c r="EP2" s="40" t="s">
        <v>849</v>
      </c>
      <c r="EQ2" s="144"/>
      <c r="ER2" s="100"/>
      <c r="ES2" s="100"/>
      <c r="ET2" s="100"/>
    </row>
    <row r="3" spans="1:150" s="3" customFormat="1" ht="54" customHeight="1" x14ac:dyDescent="0.25">
      <c r="A3" s="159"/>
      <c r="B3" s="171"/>
      <c r="C3" s="171"/>
      <c r="G3" s="129"/>
      <c r="H3" s="141"/>
      <c r="I3" s="141"/>
      <c r="J3" s="20">
        <f ca="1">INDIRECT(J$1)</f>
        <v>0</v>
      </c>
      <c r="K3" s="140">
        <f ca="1">INDIRECT(K$1)</f>
        <v>0</v>
      </c>
      <c r="L3" s="20">
        <f t="shared" ref="L3:AE3" ca="1" si="0">INDIRECT(L$1)</f>
        <v>0</v>
      </c>
      <c r="M3" s="97">
        <f t="shared" ca="1" si="0"/>
        <v>0</v>
      </c>
      <c r="N3" s="97">
        <f t="shared" ca="1" si="0"/>
        <v>0</v>
      </c>
      <c r="O3" s="20" t="str">
        <f t="shared" ca="1" si="0"/>
        <v xml:space="preserve"> </v>
      </c>
      <c r="P3" s="20">
        <f t="shared" ca="1" si="0"/>
        <v>0</v>
      </c>
      <c r="Q3" s="20">
        <f t="shared" ca="1" si="0"/>
        <v>0</v>
      </c>
      <c r="R3" s="20">
        <f t="shared" ca="1" si="0"/>
        <v>0</v>
      </c>
      <c r="S3" s="20">
        <f t="shared" ca="1" si="0"/>
        <v>0</v>
      </c>
      <c r="T3" s="20">
        <f t="shared" ca="1" si="0"/>
        <v>0</v>
      </c>
      <c r="U3" s="20">
        <f t="shared" ca="1" si="0"/>
        <v>0</v>
      </c>
      <c r="V3" s="20">
        <f t="shared" ca="1" si="0"/>
        <v>0</v>
      </c>
      <c r="W3" s="20">
        <f t="shared" ca="1" si="0"/>
        <v>0</v>
      </c>
      <c r="X3" s="20">
        <f t="shared" ca="1" si="0"/>
        <v>0</v>
      </c>
      <c r="Y3" s="20">
        <f t="shared" ca="1" si="0"/>
        <v>0</v>
      </c>
      <c r="Z3" s="20">
        <f t="shared" ca="1" si="0"/>
        <v>0</v>
      </c>
      <c r="AA3" s="20">
        <f t="shared" ca="1" si="0"/>
        <v>0</v>
      </c>
      <c r="AB3" s="20">
        <f t="shared" ca="1" si="0"/>
        <v>0</v>
      </c>
      <c r="AC3" s="20">
        <f t="shared" ca="1" si="0"/>
        <v>0</v>
      </c>
      <c r="AD3" s="20">
        <f t="shared" ca="1" si="0"/>
        <v>0</v>
      </c>
      <c r="AE3" s="20">
        <f t="shared" ca="1" si="0"/>
        <v>0</v>
      </c>
      <c r="AF3" s="163">
        <f t="shared" ref="AF3:AP3" ca="1" si="1">INDIRECT(AF$1)</f>
        <v>0</v>
      </c>
      <c r="AG3" s="20" t="str">
        <f t="shared" ca="1" si="1"/>
        <v>Bitte auswählen</v>
      </c>
      <c r="AH3" s="20" t="str">
        <f t="shared" ca="1" si="1"/>
        <v xml:space="preserve"> </v>
      </c>
      <c r="AI3" s="163">
        <f t="shared" ca="1" si="1"/>
        <v>0</v>
      </c>
      <c r="AJ3" s="164">
        <f t="shared" ca="1" si="1"/>
        <v>0</v>
      </c>
      <c r="AK3" s="164">
        <f t="shared" ca="1" si="1"/>
        <v>0</v>
      </c>
      <c r="AL3" s="164">
        <f t="shared" ca="1" si="1"/>
        <v>0</v>
      </c>
      <c r="AM3" s="164">
        <f t="shared" ca="1" si="1"/>
        <v>0</v>
      </c>
      <c r="AN3" s="20" t="str">
        <f t="shared" ca="1" si="1"/>
        <v>Langzeitleistungsbeziehende (SGB II) / strukturell Benachteiligte im Leistungsbezug (SGB II)</v>
      </c>
      <c r="AO3" s="20" t="str">
        <f t="shared" ca="1" si="1"/>
        <v>ESO 4.8 Förd. der aktiven Inklusion mit Blick auf die Verbesserung der Chancengleichheit, Nichtdiskriminierung u. aktiven Teilhabe sowie Erhöhung der Beschäftigungsfähigkeit…</v>
      </c>
      <c r="AP3" s="20" t="str">
        <f t="shared" ca="1" si="1"/>
        <v>Frauen aktiv in die Zukunft</v>
      </c>
      <c r="AQ3" s="162">
        <f t="shared" ref="AQ3:DZ3" ca="1" si="2">INDIRECT(AQ$1)</f>
        <v>0</v>
      </c>
      <c r="AR3" s="162">
        <f t="shared" ca="1" si="2"/>
        <v>0</v>
      </c>
      <c r="AS3" s="162">
        <f t="shared" ca="1" si="2"/>
        <v>0</v>
      </c>
      <c r="AT3" s="162"/>
      <c r="AU3" s="162"/>
      <c r="AV3" s="162">
        <f t="shared" ca="1" si="2"/>
        <v>0</v>
      </c>
      <c r="AW3" s="162">
        <f t="shared" ca="1" si="2"/>
        <v>0</v>
      </c>
      <c r="AX3" s="162">
        <f t="shared" ca="1" si="2"/>
        <v>0</v>
      </c>
      <c r="AY3" s="162"/>
      <c r="AZ3" s="162"/>
      <c r="BA3" s="162">
        <f t="shared" ca="1" si="2"/>
        <v>0</v>
      </c>
      <c r="BB3" s="162">
        <f t="shared" ca="1" si="2"/>
        <v>0</v>
      </c>
      <c r="BC3" s="162">
        <f t="shared" ca="1" si="2"/>
        <v>0</v>
      </c>
      <c r="BD3" s="162"/>
      <c r="BE3" s="162"/>
      <c r="BF3" s="162">
        <f t="shared" ca="1" si="2"/>
        <v>0</v>
      </c>
      <c r="BG3" s="162">
        <f t="shared" ca="1" si="2"/>
        <v>0</v>
      </c>
      <c r="BH3" s="162">
        <f t="shared" ca="1" si="2"/>
        <v>0</v>
      </c>
      <c r="BI3" s="162"/>
      <c r="BJ3" s="162"/>
      <c r="BK3" s="162">
        <f t="shared" ca="1" si="2"/>
        <v>0</v>
      </c>
      <c r="BL3" s="162">
        <f t="shared" ca="1" si="2"/>
        <v>0</v>
      </c>
      <c r="BM3" s="162">
        <f t="shared" ca="1" si="2"/>
        <v>0</v>
      </c>
      <c r="BN3" s="162"/>
      <c r="BO3" s="162"/>
      <c r="BP3" s="162">
        <f t="shared" ca="1" si="2"/>
        <v>0</v>
      </c>
      <c r="BQ3" s="162">
        <f t="shared" ca="1" si="2"/>
        <v>0</v>
      </c>
      <c r="BR3" s="162">
        <f t="shared" ca="1" si="2"/>
        <v>0</v>
      </c>
      <c r="BS3" s="162"/>
      <c r="BT3" s="162"/>
      <c r="BU3" s="162">
        <f t="shared" ca="1" si="2"/>
        <v>0</v>
      </c>
      <c r="BV3" s="162">
        <f t="shared" ca="1" si="2"/>
        <v>0</v>
      </c>
      <c r="BW3" s="162">
        <f t="shared" ca="1" si="2"/>
        <v>0</v>
      </c>
      <c r="BX3" s="162"/>
      <c r="BY3" s="162"/>
      <c r="BZ3" s="162">
        <f t="shared" ca="1" si="2"/>
        <v>0</v>
      </c>
      <c r="CA3" s="162">
        <f t="shared" ca="1" si="2"/>
        <v>0</v>
      </c>
      <c r="CB3" s="162">
        <f t="shared" ca="1" si="2"/>
        <v>0</v>
      </c>
      <c r="CC3" s="162"/>
      <c r="CD3" s="162"/>
      <c r="CE3" s="162">
        <f t="shared" ca="1" si="2"/>
        <v>0</v>
      </c>
      <c r="CF3" s="162">
        <f t="shared" ca="1" si="2"/>
        <v>0</v>
      </c>
      <c r="CG3" s="162">
        <f t="shared" ca="1" si="2"/>
        <v>0</v>
      </c>
      <c r="CH3" s="162"/>
      <c r="CI3" s="162"/>
      <c r="CJ3" s="162">
        <f t="shared" ref="CJ3:CQ3" ca="1" si="3">INDIRECT(CJ$1)</f>
        <v>0</v>
      </c>
      <c r="CK3" s="162">
        <f t="shared" ca="1" si="3"/>
        <v>0</v>
      </c>
      <c r="CL3" s="162">
        <f t="shared" ca="1" si="3"/>
        <v>0</v>
      </c>
      <c r="CM3" s="162"/>
      <c r="CN3" s="162"/>
      <c r="CO3" s="162">
        <f t="shared" ca="1" si="3"/>
        <v>0</v>
      </c>
      <c r="CP3" s="162">
        <f t="shared" ca="1" si="3"/>
        <v>0</v>
      </c>
      <c r="CQ3" s="162">
        <f t="shared" ca="1" si="3"/>
        <v>0</v>
      </c>
      <c r="CR3" s="162"/>
      <c r="CS3" s="162"/>
      <c r="CT3" s="162">
        <f t="shared" ca="1" si="2"/>
        <v>0</v>
      </c>
      <c r="CU3" s="162">
        <f t="shared" ca="1" si="2"/>
        <v>0</v>
      </c>
      <c r="CV3" s="162">
        <f t="shared" ca="1" si="2"/>
        <v>0</v>
      </c>
      <c r="CW3" s="162"/>
      <c r="CX3" s="162"/>
      <c r="CY3" s="162">
        <f t="shared" ca="1" si="2"/>
        <v>0</v>
      </c>
      <c r="CZ3" s="162">
        <f t="shared" ca="1" si="2"/>
        <v>0</v>
      </c>
      <c r="DA3" s="162">
        <f t="shared" ca="1" si="2"/>
        <v>0</v>
      </c>
      <c r="DB3" s="162"/>
      <c r="DC3" s="162"/>
      <c r="DD3" s="162">
        <f t="shared" ca="1" si="2"/>
        <v>0</v>
      </c>
      <c r="DE3" s="162">
        <f t="shared" ca="1" si="2"/>
        <v>0</v>
      </c>
      <c r="DF3" s="162">
        <f t="shared" ca="1" si="2"/>
        <v>0</v>
      </c>
      <c r="DG3" s="162"/>
      <c r="DH3" s="162"/>
      <c r="DI3" s="162">
        <f t="shared" ca="1" si="2"/>
        <v>0</v>
      </c>
      <c r="DJ3" s="162">
        <f t="shared" ca="1" si="2"/>
        <v>0</v>
      </c>
      <c r="DK3" s="162">
        <f t="shared" ca="1" si="2"/>
        <v>0</v>
      </c>
      <c r="DL3" s="162"/>
      <c r="DM3" s="162"/>
      <c r="DN3" s="162">
        <f t="shared" ref="DN3:DU3" ca="1" si="4">INDIRECT(DN$1)</f>
        <v>0</v>
      </c>
      <c r="DO3" s="162">
        <f t="shared" ca="1" si="4"/>
        <v>0</v>
      </c>
      <c r="DP3" s="162">
        <f t="shared" ca="1" si="4"/>
        <v>0</v>
      </c>
      <c r="DQ3" s="162"/>
      <c r="DR3" s="162"/>
      <c r="DS3" s="162">
        <f t="shared" ca="1" si="4"/>
        <v>0</v>
      </c>
      <c r="DT3" s="162">
        <f t="shared" ca="1" si="4"/>
        <v>0</v>
      </c>
      <c r="DU3" s="162">
        <f t="shared" ca="1" si="4"/>
        <v>0</v>
      </c>
      <c r="DV3" s="162"/>
      <c r="DW3" s="162"/>
      <c r="DX3" s="162">
        <f t="shared" ca="1" si="2"/>
        <v>0</v>
      </c>
      <c r="DY3" s="162">
        <f t="shared" ca="1" si="2"/>
        <v>0</v>
      </c>
      <c r="DZ3" s="162">
        <f t="shared" ca="1" si="2"/>
        <v>0</v>
      </c>
      <c r="EA3" s="162"/>
      <c r="EB3" s="162"/>
      <c r="EC3" s="162">
        <f t="shared" ref="EC3:EO3" ca="1" si="5">INDIRECT(EC$1)</f>
        <v>0</v>
      </c>
      <c r="ED3" s="162">
        <f t="shared" ca="1" si="5"/>
        <v>0</v>
      </c>
      <c r="EE3" s="162">
        <f t="shared" ca="1" si="5"/>
        <v>0</v>
      </c>
      <c r="EF3" s="162"/>
      <c r="EG3" s="162"/>
      <c r="EH3" s="162">
        <f ca="1">INDIRECT(EH$1)</f>
        <v>0</v>
      </c>
      <c r="EI3" s="162">
        <f ca="1">INDIRECT(EI$1)</f>
        <v>0</v>
      </c>
      <c r="EJ3" s="162">
        <f ca="1">INDIRECT(EJ$1)</f>
        <v>0</v>
      </c>
      <c r="EK3" s="162"/>
      <c r="EL3" s="162"/>
      <c r="EM3" s="162">
        <f t="shared" ca="1" si="5"/>
        <v>0</v>
      </c>
      <c r="EN3" s="162">
        <f t="shared" ca="1" si="5"/>
        <v>0</v>
      </c>
      <c r="EO3" s="189" t="str">
        <f t="shared" ca="1" si="5"/>
        <v/>
      </c>
      <c r="EP3" s="162"/>
      <c r="EQ3" s="162"/>
      <c r="ER3" s="162"/>
      <c r="ES3" s="162"/>
      <c r="ET3" s="162"/>
    </row>
    <row r="4" spans="1:150" s="3" customFormat="1" x14ac:dyDescent="0.25">
      <c r="A4" s="160"/>
      <c r="J4" s="20"/>
      <c r="K4" s="20"/>
      <c r="L4" s="20"/>
      <c r="M4" s="98"/>
      <c r="N4" s="98"/>
      <c r="O4" s="98"/>
      <c r="P4" s="98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</row>
    <row r="5" spans="1:150" x14ac:dyDescent="0.25">
      <c r="L5" s="20"/>
    </row>
    <row r="6" spans="1:150" s="1" customFormat="1" ht="15" x14ac:dyDescent="0.25">
      <c r="A6" s="161"/>
      <c r="M6" s="99"/>
      <c r="N6" s="99"/>
      <c r="O6" s="99"/>
      <c r="P6" s="99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</row>
    <row r="8" spans="1:150" x14ac:dyDescent="0.25">
      <c r="K8" s="125"/>
    </row>
    <row r="9" spans="1:150" x14ac:dyDescent="0.25">
      <c r="K9" s="125"/>
    </row>
    <row r="10" spans="1:150" x14ac:dyDescent="0.25">
      <c r="K10" s="125"/>
    </row>
    <row r="11" spans="1:150" x14ac:dyDescent="0.25">
      <c r="K11" s="125"/>
    </row>
    <row r="12" spans="1:150" x14ac:dyDescent="0.25">
      <c r="K12" s="125"/>
    </row>
    <row r="13" spans="1:150" x14ac:dyDescent="0.25">
      <c r="K13" s="125"/>
    </row>
    <row r="14" spans="1:150" x14ac:dyDescent="0.25">
      <c r="K14" s="125"/>
    </row>
    <row r="15" spans="1:150" x14ac:dyDescent="0.25">
      <c r="K15" s="125"/>
    </row>
    <row r="16" spans="1:150" x14ac:dyDescent="0.25">
      <c r="K16" s="125"/>
    </row>
    <row r="17" spans="11:11" x14ac:dyDescent="0.25">
      <c r="K17" s="125"/>
    </row>
    <row r="18" spans="11:11" x14ac:dyDescent="0.25">
      <c r="K18" s="125"/>
    </row>
    <row r="19" spans="11:11" x14ac:dyDescent="0.25">
      <c r="K19" s="125"/>
    </row>
    <row r="20" spans="11:11" x14ac:dyDescent="0.25">
      <c r="K20" s="125"/>
    </row>
    <row r="21" spans="11:11" x14ac:dyDescent="0.25">
      <c r="K21" s="125"/>
    </row>
    <row r="22" spans="11:11" x14ac:dyDescent="0.25">
      <c r="K22" s="125"/>
    </row>
  </sheetData>
  <customSheetViews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E36"/>
  <sheetViews>
    <sheetView workbookViewId="0">
      <selection activeCell="C10" sqref="C10"/>
    </sheetView>
  </sheetViews>
  <sheetFormatPr baseColWidth="10" defaultRowHeight="13.2" x14ac:dyDescent="0.25"/>
  <cols>
    <col min="1" max="1" width="24.5546875" customWidth="1"/>
    <col min="2" max="2" width="13.6640625" customWidth="1"/>
    <col min="4" max="4" width="38.5546875" style="2" customWidth="1"/>
    <col min="5" max="5" width="10.88671875" customWidth="1"/>
  </cols>
  <sheetData>
    <row r="1" spans="1:5" s="4" customFormat="1" x14ac:dyDescent="0.25">
      <c r="B1" s="4" t="s">
        <v>282</v>
      </c>
      <c r="C1" s="4" t="s">
        <v>283</v>
      </c>
      <c r="D1" s="40" t="s">
        <v>284</v>
      </c>
    </row>
    <row r="2" spans="1:5" x14ac:dyDescent="0.25">
      <c r="A2" t="s">
        <v>258</v>
      </c>
      <c r="B2" t="s">
        <v>343</v>
      </c>
      <c r="C2">
        <v>0</v>
      </c>
      <c r="D2" s="135" t="str">
        <f>IF(Akauswahl=1,"ja",IF(Akauswahl=2,"nein", " "))</f>
        <v xml:space="preserve"> </v>
      </c>
    </row>
    <row r="3" spans="1:5" x14ac:dyDescent="0.25">
      <c r="A3" t="s">
        <v>259</v>
      </c>
      <c r="B3" s="129" t="s">
        <v>343</v>
      </c>
      <c r="C3">
        <v>0</v>
      </c>
      <c r="D3" s="135" t="str">
        <f>IF(edwdAuswahl=1, "ed", IF(edwdAuswahl=2,"wd", " "))</f>
        <v xml:space="preserve"> </v>
      </c>
    </row>
    <row r="4" spans="1:5" x14ac:dyDescent="0.25">
      <c r="A4" t="s">
        <v>367</v>
      </c>
      <c r="B4" t="s">
        <v>343</v>
      </c>
      <c r="C4">
        <v>0</v>
      </c>
      <c r="D4" s="135" t="str">
        <f>IF(TNrlpauswahl=1, "ja",IF(TNrlpauswahl=2,"nein", " "))</f>
        <v xml:space="preserve"> </v>
      </c>
    </row>
    <row r="5" spans="1:5" x14ac:dyDescent="0.25">
      <c r="A5" t="s">
        <v>285</v>
      </c>
      <c r="B5" t="s">
        <v>344</v>
      </c>
      <c r="C5">
        <v>1</v>
      </c>
      <c r="D5" s="135" t="str">
        <f ca="1">INDEX(INDIRECT($A5),$C5,1)</f>
        <v>Bitte auswählen</v>
      </c>
      <c r="E5" s="29">
        <f ca="1">INDEX(INDIRECT($A5),$C5,2)</f>
        <v>0</v>
      </c>
    </row>
    <row r="6" spans="1:5" x14ac:dyDescent="0.25">
      <c r="A6" t="s">
        <v>286</v>
      </c>
      <c r="B6" t="s">
        <v>344</v>
      </c>
      <c r="C6">
        <v>2</v>
      </c>
      <c r="D6" s="2">
        <f ca="1">INDEX(INDIRECT(A6),C6)</f>
        <v>0</v>
      </c>
      <c r="E6" t="str">
        <f>IF(Pachseauswahl=2,"A",IF(Pachseauswahl=3,"B",IF(Pachseauswahl=4,"C"," ")))</f>
        <v>A</v>
      </c>
    </row>
    <row r="7" spans="1:5" ht="66" x14ac:dyDescent="0.25">
      <c r="A7" t="s">
        <v>287</v>
      </c>
      <c r="B7" t="s">
        <v>344</v>
      </c>
      <c r="C7">
        <v>2</v>
      </c>
      <c r="D7" s="2" t="str">
        <f ca="1">INDEX(INDIRECT(A7),C7)</f>
        <v>ESO 4.8 Förd. der aktiven Inklusion mit Blick auf die Verbesserung der Chancengleichheit, Nichtdiskriminierung u. aktiven Teilhabe sowie Erhöhung der Beschäftigungsfähigkeit…</v>
      </c>
    </row>
    <row r="8" spans="1:5" x14ac:dyDescent="0.25">
      <c r="A8" t="s">
        <v>342</v>
      </c>
      <c r="B8" t="s">
        <v>344</v>
      </c>
      <c r="C8">
        <v>2</v>
      </c>
      <c r="D8" s="2" t="str">
        <f ca="1">INDEX(INDIRECT(A8),C8)</f>
        <v>Frauen aktiv in die Zukunft</v>
      </c>
      <c r="E8">
        <f>IF(ISERROR(MATCH("Auswahl"&amp;Pachseauswahl&amp;Aktionauswahl,FAnsatzAuswahlen,0)),1,MATCH("Auswahl"&amp;Pachseauswahl&amp;Aktionauswahl,FAnsatzAuswahlen,0)-1)</f>
        <v>2</v>
      </c>
    </row>
    <row r="9" spans="1:5" ht="39.6" x14ac:dyDescent="0.25">
      <c r="A9" t="s">
        <v>288</v>
      </c>
      <c r="B9" t="s">
        <v>344</v>
      </c>
      <c r="C9">
        <v>2</v>
      </c>
      <c r="D9" s="2" t="str">
        <f ca="1">INDEX(INDIRECT(A9),C9)</f>
        <v>Langzeitleistungsbeziehende (SGB II) / strukturell Benachteiligte im Leistungsbezug (SGB II)</v>
      </c>
    </row>
    <row r="10" spans="1:5" x14ac:dyDescent="0.25">
      <c r="A10" s="129" t="s">
        <v>993</v>
      </c>
      <c r="B10" s="129" t="s">
        <v>343</v>
      </c>
      <c r="C10" t="b">
        <v>0</v>
      </c>
    </row>
    <row r="12" spans="1:5" x14ac:dyDescent="0.25">
      <c r="A12" t="s">
        <v>213</v>
      </c>
      <c r="B12" t="s">
        <v>344</v>
      </c>
    </row>
    <row r="14" spans="1:5" x14ac:dyDescent="0.25">
      <c r="A14" s="129" t="s">
        <v>986</v>
      </c>
      <c r="B14" t="s">
        <v>343</v>
      </c>
      <c r="C14">
        <v>0</v>
      </c>
      <c r="D14" s="135" t="str" cm="1">
        <f t="array" ref="D14">IF(Gleichstellungsauswahl=1,"findet Beachtung",IF(Gleichstellungsauswahl=2,"findet keine Beachtung",IF(Gleichstellungsauswahl=3,"keine Relevanz"," " )))</f>
        <v xml:space="preserve"> </v>
      </c>
    </row>
    <row r="15" spans="1:5" x14ac:dyDescent="0.25">
      <c r="A15" s="129" t="s">
        <v>991</v>
      </c>
      <c r="B15" t="s">
        <v>343</v>
      </c>
      <c r="C15">
        <v>0</v>
      </c>
      <c r="D15" s="135" t="str">
        <f>IF(Nichtdiskriminierungsauswahl=1,"findet Beachtung",IF(Nichtdiskriminierungsauswahl=2,"findet keine Beachtung",IF(Nichtdiskriminierungsauswahl=3,"keine Relevanz"," " )))</f>
        <v xml:space="preserve"> </v>
      </c>
    </row>
    <row r="16" spans="1:5" x14ac:dyDescent="0.25">
      <c r="A16" s="129" t="s">
        <v>352</v>
      </c>
      <c r="B16" t="s">
        <v>343</v>
      </c>
      <c r="C16">
        <v>0</v>
      </c>
      <c r="D16" s="135" t="str">
        <f>IF(Transnationalauswahl=1,"findet Beachtung",IF(Transnationalauswahl=2,"findet keine Beachtung",IF(Transnationalauswahl=3,"keine Relevanz"," " )))</f>
        <v xml:space="preserve"> </v>
      </c>
    </row>
    <row r="17" spans="1:4" x14ac:dyDescent="0.25">
      <c r="A17" s="129" t="s">
        <v>987</v>
      </c>
      <c r="B17" t="s">
        <v>343</v>
      </c>
      <c r="C17">
        <v>0</v>
      </c>
      <c r="D17" s="135" t="str">
        <f>IF(Nachhaltigkeitauswahl=1,"findet Beachtung",IF(Nachhaltigkeitauswahl=2,"findet keine Beachtung",IF(Nachhaltigkeitauswahl=3,"keine Relevanz"," " )))</f>
        <v xml:space="preserve"> </v>
      </c>
    </row>
    <row r="18" spans="1:4" x14ac:dyDescent="0.25">
      <c r="D18" s="135"/>
    </row>
    <row r="20" spans="1:4" x14ac:dyDescent="0.25">
      <c r="A20" t="s">
        <v>368</v>
      </c>
      <c r="B20" t="s">
        <v>343</v>
      </c>
      <c r="C20">
        <v>0</v>
      </c>
      <c r="D20" s="2" t="str">
        <f>IF(Entschuldung = 1, "Durchführung von Maßnahmen zur Entschuldung.", IF(Entschuldung=2,"keine Durchführung von Maßnahmen zur Entschuldung", " "))</f>
        <v xml:space="preserve"> </v>
      </c>
    </row>
    <row r="21" spans="1:4" x14ac:dyDescent="0.25">
      <c r="A21" t="s">
        <v>369</v>
      </c>
      <c r="B21" t="s">
        <v>343</v>
      </c>
      <c r="C21">
        <v>0</v>
      </c>
      <c r="D21" s="2" t="str">
        <f>IF(EuropaIch = 1, "Durchführung des Moduls Europa und Ich.", IF(EuropaIch=2,"keine Durchführung des Moduls Europa und Ich", " " ))</f>
        <v xml:space="preserve"> </v>
      </c>
    </row>
    <row r="24" spans="1:4" x14ac:dyDescent="0.25">
      <c r="A24" s="4" t="s">
        <v>370</v>
      </c>
    </row>
    <row r="25" spans="1:4" x14ac:dyDescent="0.25">
      <c r="A25" t="s">
        <v>371</v>
      </c>
      <c r="B25" t="s">
        <v>343</v>
      </c>
      <c r="C25">
        <v>0</v>
      </c>
    </row>
    <row r="26" spans="1:4" x14ac:dyDescent="0.25">
      <c r="A26" t="s">
        <v>377</v>
      </c>
      <c r="B26" t="s">
        <v>343</v>
      </c>
      <c r="C26">
        <v>0</v>
      </c>
    </row>
    <row r="27" spans="1:4" x14ac:dyDescent="0.25">
      <c r="A27" t="s">
        <v>380</v>
      </c>
      <c r="B27" t="s">
        <v>343</v>
      </c>
      <c r="C27">
        <v>0</v>
      </c>
    </row>
    <row r="28" spans="1:4" x14ac:dyDescent="0.25">
      <c r="A28" s="129" t="s">
        <v>383</v>
      </c>
      <c r="B28" s="129" t="s">
        <v>344</v>
      </c>
      <c r="C28">
        <v>1</v>
      </c>
      <c r="D28" s="2">
        <f ca="1">INDEX(INDIRECT(A28), C28)</f>
        <v>0</v>
      </c>
    </row>
    <row r="30" spans="1:4" x14ac:dyDescent="0.25">
      <c r="A30" t="s">
        <v>42</v>
      </c>
      <c r="B30" s="56">
        <f>(DATEDIF(Beginn,Ende,"M")+1)</f>
        <v>1</v>
      </c>
    </row>
    <row r="32" spans="1:4" x14ac:dyDescent="0.25">
      <c r="A32" t="s">
        <v>286</v>
      </c>
      <c r="B32" t="s">
        <v>343</v>
      </c>
      <c r="C32">
        <v>1</v>
      </c>
      <c r="D32" s="2" t="str">
        <f ca="1">INDEX(INDIRECT(A32), C32)</f>
        <v>Bitte auswählen</v>
      </c>
    </row>
    <row r="33" spans="1:4" x14ac:dyDescent="0.25">
      <c r="A33" t="s">
        <v>604</v>
      </c>
      <c r="B33" t="s">
        <v>343</v>
      </c>
      <c r="C33">
        <v>1</v>
      </c>
      <c r="D33" s="2" t="str">
        <f ca="1">INDEX(INDIRECT(A33), C33)</f>
        <v>Bitte auswählen</v>
      </c>
    </row>
    <row r="34" spans="1:4" x14ac:dyDescent="0.25">
      <c r="A34" t="s">
        <v>605</v>
      </c>
      <c r="B34" t="s">
        <v>343</v>
      </c>
      <c r="C34">
        <v>1</v>
      </c>
      <c r="D34" s="2">
        <f ca="1">INDEX(INDIRECT(A34), C34)</f>
        <v>0</v>
      </c>
    </row>
    <row r="36" spans="1:4" x14ac:dyDescent="0.25">
      <c r="A36" s="129" t="s">
        <v>682</v>
      </c>
      <c r="B36" s="129" t="s">
        <v>344</v>
      </c>
      <c r="C36" s="129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28" evalError="1"/>
    <ignoredError sqref="D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>
      <selection activeCell="A8" sqref="A8"/>
    </sheetView>
  </sheetViews>
  <sheetFormatPr baseColWidth="10" defaultRowHeight="13.2" x14ac:dyDescent="0.25"/>
  <cols>
    <col min="1" max="1" width="7.109375" customWidth="1"/>
    <col min="2" max="2" width="16.5546875" customWidth="1"/>
  </cols>
  <sheetData>
    <row r="1" spans="1:2" x14ac:dyDescent="0.25">
      <c r="A1" s="128" t="s">
        <v>850</v>
      </c>
      <c r="B1" s="129" t="s">
        <v>851</v>
      </c>
    </row>
    <row r="2" spans="1:2" x14ac:dyDescent="0.25">
      <c r="A2" s="128" t="s">
        <v>852</v>
      </c>
      <c r="B2" s="129" t="s">
        <v>853</v>
      </c>
    </row>
    <row r="3" spans="1:2" x14ac:dyDescent="0.25">
      <c r="A3" s="29"/>
    </row>
    <row r="4" spans="1:2" x14ac:dyDescent="0.25">
      <c r="A4" s="29" t="s">
        <v>104</v>
      </c>
      <c r="B4" t="s">
        <v>540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>
      <selection activeCell="F11" sqref="F11"/>
    </sheetView>
  </sheetViews>
  <sheetFormatPr baseColWidth="10" defaultRowHeight="13.2" x14ac:dyDescent="0.25"/>
  <cols>
    <col min="1" max="1" width="24.6640625" bestFit="1" customWidth="1"/>
    <col min="2" max="2" width="11.44140625" style="29" customWidth="1"/>
  </cols>
  <sheetData>
    <row r="1" spans="1:2" x14ac:dyDescent="0.25">
      <c r="A1" s="6" t="s">
        <v>662</v>
      </c>
    </row>
    <row r="2" spans="1:2" x14ac:dyDescent="0.25">
      <c r="A2" s="130" t="s">
        <v>951</v>
      </c>
      <c r="B2" s="128" t="s">
        <v>104</v>
      </c>
    </row>
    <row r="3" spans="1:2" x14ac:dyDescent="0.25">
      <c r="A3" s="130" t="s">
        <v>897</v>
      </c>
      <c r="B3" s="128" t="s">
        <v>104</v>
      </c>
    </row>
    <row r="4" spans="1:2" x14ac:dyDescent="0.25">
      <c r="A4" s="15" t="s">
        <v>78</v>
      </c>
      <c r="B4" s="128" t="s">
        <v>104</v>
      </c>
    </row>
    <row r="5" spans="1:2" x14ac:dyDescent="0.25">
      <c r="A5" s="15" t="s">
        <v>105</v>
      </c>
      <c r="B5" s="128" t="s">
        <v>104</v>
      </c>
    </row>
    <row r="6" spans="1:2" x14ac:dyDescent="0.25">
      <c r="A6" s="15" t="s">
        <v>64</v>
      </c>
      <c r="B6" s="128" t="s">
        <v>850</v>
      </c>
    </row>
    <row r="7" spans="1:2" x14ac:dyDescent="0.25">
      <c r="A7" s="15" t="s">
        <v>65</v>
      </c>
      <c r="B7" s="128" t="s">
        <v>104</v>
      </c>
    </row>
    <row r="8" spans="1:2" x14ac:dyDescent="0.25">
      <c r="A8" s="15" t="s">
        <v>79</v>
      </c>
      <c r="B8" s="128" t="s">
        <v>850</v>
      </c>
    </row>
    <row r="9" spans="1:2" x14ac:dyDescent="0.25">
      <c r="A9" s="15" t="s">
        <v>58</v>
      </c>
      <c r="B9" s="29" t="s">
        <v>104</v>
      </c>
    </row>
    <row r="10" spans="1:2" x14ac:dyDescent="0.25">
      <c r="A10" s="15" t="s">
        <v>80</v>
      </c>
      <c r="B10" s="128" t="s">
        <v>104</v>
      </c>
    </row>
    <row r="11" spans="1:2" x14ac:dyDescent="0.25">
      <c r="A11" s="15" t="s">
        <v>59</v>
      </c>
      <c r="B11" s="29" t="s">
        <v>104</v>
      </c>
    </row>
    <row r="12" spans="1:2" x14ac:dyDescent="0.25">
      <c r="A12" s="15" t="s">
        <v>55</v>
      </c>
      <c r="B12" s="29" t="s">
        <v>104</v>
      </c>
    </row>
    <row r="13" spans="1:2" x14ac:dyDescent="0.25">
      <c r="A13" s="15" t="s">
        <v>82</v>
      </c>
      <c r="B13" s="128" t="s">
        <v>104</v>
      </c>
    </row>
    <row r="14" spans="1:2" x14ac:dyDescent="0.25">
      <c r="A14" s="15" t="s">
        <v>81</v>
      </c>
      <c r="B14" s="128" t="s">
        <v>104</v>
      </c>
    </row>
    <row r="15" spans="1:2" x14ac:dyDescent="0.25">
      <c r="A15" s="15" t="s">
        <v>66</v>
      </c>
      <c r="B15" s="29" t="s">
        <v>104</v>
      </c>
    </row>
    <row r="16" spans="1:2" x14ac:dyDescent="0.25">
      <c r="A16" s="15" t="s">
        <v>67</v>
      </c>
      <c r="B16" s="29" t="s">
        <v>104</v>
      </c>
    </row>
    <row r="17" spans="1:2" x14ac:dyDescent="0.25">
      <c r="A17" s="15" t="s">
        <v>68</v>
      </c>
      <c r="B17" s="128" t="s">
        <v>850</v>
      </c>
    </row>
    <row r="18" spans="1:2" x14ac:dyDescent="0.25">
      <c r="A18" s="15" t="s">
        <v>69</v>
      </c>
      <c r="B18" s="128" t="s">
        <v>852</v>
      </c>
    </row>
    <row r="19" spans="1:2" x14ac:dyDescent="0.25">
      <c r="A19" s="15" t="s">
        <v>56</v>
      </c>
      <c r="B19" s="128" t="s">
        <v>104</v>
      </c>
    </row>
    <row r="20" spans="1:2" x14ac:dyDescent="0.25">
      <c r="A20" s="15" t="s">
        <v>107</v>
      </c>
      <c r="B20" s="128" t="s">
        <v>852</v>
      </c>
    </row>
    <row r="21" spans="1:2" x14ac:dyDescent="0.25">
      <c r="A21" s="15" t="s">
        <v>108</v>
      </c>
      <c r="B21" s="128" t="s">
        <v>852</v>
      </c>
    </row>
    <row r="22" spans="1:2" x14ac:dyDescent="0.25">
      <c r="A22" s="6" t="s">
        <v>106</v>
      </c>
      <c r="B22" s="128" t="s">
        <v>850</v>
      </c>
    </row>
    <row r="23" spans="1:2" x14ac:dyDescent="0.25">
      <c r="A23" s="15" t="s">
        <v>83</v>
      </c>
      <c r="B23" s="128" t="s">
        <v>104</v>
      </c>
    </row>
    <row r="24" spans="1:2" x14ac:dyDescent="0.25">
      <c r="A24" s="15" t="s">
        <v>71</v>
      </c>
      <c r="B24" s="29" t="s">
        <v>104</v>
      </c>
    </row>
    <row r="25" spans="1:2" x14ac:dyDescent="0.25">
      <c r="A25" s="130" t="s">
        <v>854</v>
      </c>
      <c r="B25" s="128" t="s">
        <v>104</v>
      </c>
    </row>
    <row r="26" spans="1:2" x14ac:dyDescent="0.25">
      <c r="A26" s="15" t="s">
        <v>60</v>
      </c>
      <c r="B26" s="29" t="s">
        <v>104</v>
      </c>
    </row>
    <row r="27" spans="1:2" x14ac:dyDescent="0.25">
      <c r="A27" s="15" t="s">
        <v>84</v>
      </c>
      <c r="B27" s="128" t="s">
        <v>852</v>
      </c>
    </row>
    <row r="28" spans="1:2" x14ac:dyDescent="0.25">
      <c r="A28" s="15" t="s">
        <v>109</v>
      </c>
      <c r="B28" s="128" t="s">
        <v>850</v>
      </c>
    </row>
    <row r="29" spans="1:2" x14ac:dyDescent="0.25">
      <c r="A29" s="15" t="s">
        <v>61</v>
      </c>
      <c r="B29" s="29" t="s">
        <v>104</v>
      </c>
    </row>
    <row r="30" spans="1:2" x14ac:dyDescent="0.25">
      <c r="A30" s="15" t="s">
        <v>70</v>
      </c>
      <c r="B30" s="128" t="s">
        <v>852</v>
      </c>
    </row>
    <row r="31" spans="1:2" x14ac:dyDescent="0.25">
      <c r="A31" s="15" t="s">
        <v>85</v>
      </c>
      <c r="B31" s="128" t="s">
        <v>104</v>
      </c>
    </row>
    <row r="32" spans="1:2" x14ac:dyDescent="0.25">
      <c r="A32" s="15" t="s">
        <v>86</v>
      </c>
      <c r="B32" s="128" t="s">
        <v>850</v>
      </c>
    </row>
    <row r="33" spans="1:2" x14ac:dyDescent="0.25">
      <c r="A33" s="15" t="s">
        <v>91</v>
      </c>
      <c r="B33" s="128" t="s">
        <v>850</v>
      </c>
    </row>
    <row r="34" spans="1:2" x14ac:dyDescent="0.25">
      <c r="A34" s="16" t="s">
        <v>88</v>
      </c>
      <c r="B34" s="128" t="s">
        <v>104</v>
      </c>
    </row>
    <row r="35" spans="1:2" x14ac:dyDescent="0.25">
      <c r="A35" s="15" t="s">
        <v>54</v>
      </c>
      <c r="B35" s="29" t="s">
        <v>104</v>
      </c>
    </row>
    <row r="36" spans="1:2" x14ac:dyDescent="0.25">
      <c r="A36" s="15" t="s">
        <v>62</v>
      </c>
      <c r="B36" s="128" t="s">
        <v>850</v>
      </c>
    </row>
    <row r="37" spans="1:2" x14ac:dyDescent="0.25">
      <c r="A37" s="15" t="s">
        <v>57</v>
      </c>
      <c r="B37" s="29" t="s">
        <v>104</v>
      </c>
    </row>
    <row r="38" spans="1:2" x14ac:dyDescent="0.25">
      <c r="A38" s="15" t="s">
        <v>63</v>
      </c>
      <c r="B38" s="128" t="s">
        <v>850</v>
      </c>
    </row>
    <row r="39" spans="1:2" x14ac:dyDescent="0.25">
      <c r="A39" s="15" t="s">
        <v>87</v>
      </c>
      <c r="B39" s="29" t="s">
        <v>104</v>
      </c>
    </row>
  </sheetData>
  <autoFilter ref="A2:B39" xr:uid="{00000000-0009-0000-0000-000007000000}"/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4"/>
  <sheetViews>
    <sheetView workbookViewId="0">
      <selection activeCell="A3" sqref="A3"/>
    </sheetView>
  </sheetViews>
  <sheetFormatPr baseColWidth="10" defaultRowHeight="13.2" x14ac:dyDescent="0.25"/>
  <cols>
    <col min="1" max="1" width="121.5546875" customWidth="1"/>
  </cols>
  <sheetData>
    <row r="1" spans="1:1" x14ac:dyDescent="0.25">
      <c r="A1" s="4" t="s">
        <v>280</v>
      </c>
    </row>
    <row r="2" spans="1:1" x14ac:dyDescent="0.25">
      <c r="A2" s="129" t="s">
        <v>662</v>
      </c>
    </row>
    <row r="3" spans="1:1" x14ac:dyDescent="0.25">
      <c r="A3" s="129"/>
    </row>
    <row r="4" spans="1:1" x14ac:dyDescent="0.25">
      <c r="A4" s="129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topLeftCell="B1" workbookViewId="0">
      <selection activeCell="F5" sqref="F5"/>
    </sheetView>
  </sheetViews>
  <sheetFormatPr baseColWidth="10" defaultRowHeight="13.2" x14ac:dyDescent="0.25"/>
  <cols>
    <col min="1" max="1" width="50.33203125" customWidth="1"/>
    <col min="2" max="2" width="32.33203125" customWidth="1"/>
    <col min="3" max="3" width="50.33203125" customWidth="1"/>
    <col min="4" max="4" width="42.44140625" customWidth="1"/>
    <col min="5" max="5" width="38.44140625" customWidth="1"/>
    <col min="6" max="6" width="38" customWidth="1"/>
  </cols>
  <sheetData>
    <row r="1" spans="1:6" x14ac:dyDescent="0.25">
      <c r="A1" s="4" t="s">
        <v>281</v>
      </c>
      <c r="B1" s="4" t="s">
        <v>275</v>
      </c>
      <c r="C1" s="4" t="s">
        <v>276</v>
      </c>
      <c r="D1" s="4" t="s">
        <v>277</v>
      </c>
      <c r="E1" s="4" t="s">
        <v>278</v>
      </c>
      <c r="F1" s="4" t="s">
        <v>603</v>
      </c>
    </row>
    <row r="2" spans="1:6" x14ac:dyDescent="0.25">
      <c r="A2" t="str">
        <f t="shared" ref="A2:A7" ca="1" si="0">IF(OFFSET(A2,0,Pachseauswahl) = 0,"Bitte auswählen",OFFSET(A2,0,Pachseauswahl))</f>
        <v>Bitte auswählen</v>
      </c>
      <c r="B2" t="s">
        <v>662</v>
      </c>
      <c r="F2" s="3" t="s">
        <v>662</v>
      </c>
    </row>
    <row r="3" spans="1:6" ht="52.8" x14ac:dyDescent="0.25">
      <c r="A3" s="154" t="s">
        <v>994</v>
      </c>
      <c r="B3" t="s">
        <v>662</v>
      </c>
      <c r="D3" s="130"/>
      <c r="F3" s="157" t="s">
        <v>973</v>
      </c>
    </row>
    <row r="4" spans="1:6" ht="79.2" customHeight="1" x14ac:dyDescent="0.25">
      <c r="A4" t="s">
        <v>662</v>
      </c>
      <c r="B4" t="s">
        <v>662</v>
      </c>
      <c r="C4" s="130"/>
      <c r="D4" s="130"/>
      <c r="E4" s="129"/>
      <c r="F4" s="157" t="s">
        <v>974</v>
      </c>
    </row>
    <row r="5" spans="1:6" ht="90.6" customHeight="1" x14ac:dyDescent="0.25">
      <c r="A5" t="s">
        <v>662</v>
      </c>
      <c r="B5" t="s">
        <v>662</v>
      </c>
      <c r="C5" s="17"/>
      <c r="D5" s="17"/>
      <c r="E5" s="130"/>
      <c r="F5" s="157" t="s">
        <v>994</v>
      </c>
    </row>
    <row r="6" spans="1:6" x14ac:dyDescent="0.25">
      <c r="A6" t="str">
        <f t="shared" ca="1" si="0"/>
        <v>Bitte auswählen</v>
      </c>
      <c r="B6" t="s">
        <v>662</v>
      </c>
      <c r="C6" s="17"/>
      <c r="D6" s="17"/>
      <c r="E6" s="129"/>
      <c r="F6" s="130"/>
    </row>
    <row r="7" spans="1:6" x14ac:dyDescent="0.25">
      <c r="A7" t="str">
        <f t="shared" ca="1" si="0"/>
        <v>Bitte auswählen</v>
      </c>
      <c r="C7" s="17"/>
      <c r="D7" s="17"/>
    </row>
    <row r="8" spans="1:6" x14ac:dyDescent="0.25">
      <c r="F8" s="17"/>
    </row>
    <row r="9" spans="1:6" x14ac:dyDescent="0.25">
      <c r="F9" s="130"/>
    </row>
    <row r="10" spans="1:6" x14ac:dyDescent="0.25">
      <c r="F10" s="17"/>
    </row>
    <row r="11" spans="1:6" x14ac:dyDescent="0.25">
      <c r="F11" s="17"/>
    </row>
    <row r="14" spans="1:6" x14ac:dyDescent="0.25">
      <c r="F14" s="129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3"/>
  <sheetViews>
    <sheetView workbookViewId="0">
      <selection activeCell="E5" sqref="E5"/>
    </sheetView>
  </sheetViews>
  <sheetFormatPr baseColWidth="10" defaultRowHeight="13.2" x14ac:dyDescent="0.25"/>
  <cols>
    <col min="1" max="1" width="30.44140625" customWidth="1"/>
    <col min="2" max="2" width="30.109375" bestFit="1" customWidth="1"/>
    <col min="3" max="3" width="11.6640625" customWidth="1"/>
    <col min="5" max="5" width="11.88671875" customWidth="1"/>
    <col min="6" max="6" width="13.6640625" customWidth="1"/>
    <col min="7" max="9" width="10.88671875" customWidth="1"/>
    <col min="10" max="10" width="11.33203125" customWidth="1"/>
    <col min="11" max="12" width="11.6640625" customWidth="1"/>
    <col min="13" max="14" width="12" customWidth="1"/>
    <col min="15" max="15" width="33.5546875" customWidth="1"/>
    <col min="16" max="16" width="12" customWidth="1"/>
    <col min="17" max="18" width="27" customWidth="1"/>
    <col min="19" max="19" width="50.88671875" bestFit="1" customWidth="1"/>
  </cols>
  <sheetData>
    <row r="1" spans="1:20" x14ac:dyDescent="0.25">
      <c r="A1" s="4" t="s">
        <v>274</v>
      </c>
      <c r="B1" s="4" t="s">
        <v>594</v>
      </c>
      <c r="C1" s="4" t="s">
        <v>581</v>
      </c>
      <c r="D1" s="4" t="s">
        <v>582</v>
      </c>
      <c r="E1" s="4" t="s">
        <v>583</v>
      </c>
      <c r="F1" s="4" t="s">
        <v>584</v>
      </c>
      <c r="G1" s="4" t="s">
        <v>585</v>
      </c>
      <c r="H1" s="4" t="s">
        <v>586</v>
      </c>
      <c r="I1" s="4" t="s">
        <v>587</v>
      </c>
      <c r="J1" s="4" t="s">
        <v>588</v>
      </c>
      <c r="K1" s="4" t="s">
        <v>589</v>
      </c>
      <c r="L1" s="4" t="s">
        <v>590</v>
      </c>
      <c r="M1" s="4" t="s">
        <v>591</v>
      </c>
      <c r="N1" s="4" t="s">
        <v>592</v>
      </c>
      <c r="O1" s="4" t="s">
        <v>593</v>
      </c>
      <c r="P1" s="4" t="s">
        <v>737</v>
      </c>
      <c r="Q1" s="4" t="s">
        <v>603</v>
      </c>
      <c r="S1" s="4"/>
      <c r="T1" s="4"/>
    </row>
    <row r="2" spans="1:20" x14ac:dyDescent="0.25">
      <c r="A2" t="str">
        <f t="shared" ref="A2:A7" ca="1" si="0">IF(OFFSET(A2,0,FAnsatzlisteVersatz) = 0,"Bitte auswählen",OFFSET(A2,0,FAnsatzlisteVersatz))</f>
        <v>Bitte auswählen</v>
      </c>
      <c r="B2" s="129" t="s">
        <v>899</v>
      </c>
      <c r="Q2" t="s">
        <v>662</v>
      </c>
    </row>
    <row r="3" spans="1:20" x14ac:dyDescent="0.25">
      <c r="A3" t="str">
        <f t="shared" ca="1" si="0"/>
        <v>Frauen aktiv in die Zukunft</v>
      </c>
      <c r="B3" s="129" t="s">
        <v>899</v>
      </c>
      <c r="C3" s="129" t="s">
        <v>941</v>
      </c>
      <c r="D3" s="129"/>
      <c r="H3" s="129"/>
      <c r="I3" s="129"/>
      <c r="J3" s="129"/>
      <c r="K3" s="129"/>
      <c r="N3" s="129"/>
      <c r="O3" s="129"/>
      <c r="P3" s="129"/>
      <c r="Q3" s="129" t="s">
        <v>941</v>
      </c>
      <c r="S3" s="6"/>
    </row>
    <row r="4" spans="1:20" x14ac:dyDescent="0.25">
      <c r="A4" t="str">
        <f t="shared" ca="1" si="0"/>
        <v>Bitte auswählen</v>
      </c>
      <c r="B4" s="129" t="s">
        <v>899</v>
      </c>
      <c r="D4" s="129"/>
      <c r="E4" s="129"/>
      <c r="I4" s="130"/>
      <c r="J4" s="6"/>
      <c r="K4" s="6"/>
      <c r="L4" s="6"/>
      <c r="M4" s="129"/>
      <c r="N4" s="129"/>
      <c r="O4" s="129"/>
      <c r="P4" s="129"/>
      <c r="Q4" s="129" t="s">
        <v>972</v>
      </c>
      <c r="S4" s="6"/>
    </row>
    <row r="5" spans="1:20" x14ac:dyDescent="0.25">
      <c r="A5" t="str">
        <f t="shared" ca="1" si="0"/>
        <v>Bitte auswählen</v>
      </c>
      <c r="B5" s="129" t="s">
        <v>899</v>
      </c>
      <c r="C5" s="129"/>
      <c r="D5" s="129"/>
      <c r="E5" s="129"/>
      <c r="J5" s="130"/>
      <c r="K5" s="6"/>
      <c r="L5" s="6"/>
      <c r="O5" s="129"/>
      <c r="T5" s="6"/>
    </row>
    <row r="6" spans="1:20" x14ac:dyDescent="0.25">
      <c r="A6" t="str">
        <f t="shared" ca="1" si="0"/>
        <v>Bitte auswählen</v>
      </c>
      <c r="B6" s="129" t="s">
        <v>899</v>
      </c>
      <c r="C6" s="129"/>
      <c r="D6" s="129"/>
      <c r="E6" s="129"/>
      <c r="I6" s="6"/>
      <c r="J6" s="130"/>
      <c r="K6" s="6"/>
      <c r="L6" s="6"/>
      <c r="O6" s="129"/>
      <c r="P6" s="129"/>
    </row>
    <row r="7" spans="1:20" x14ac:dyDescent="0.25">
      <c r="A7" t="str">
        <f t="shared" ca="1" si="0"/>
        <v>Bitte auswählen</v>
      </c>
      <c r="B7" s="129" t="s">
        <v>899</v>
      </c>
      <c r="D7" s="129"/>
      <c r="E7" s="129"/>
      <c r="I7" s="6"/>
      <c r="K7" s="6"/>
      <c r="L7" s="6"/>
      <c r="M7" s="129"/>
      <c r="N7" s="129"/>
      <c r="O7" s="129"/>
      <c r="Q7" s="129"/>
    </row>
    <row r="8" spans="1:20" x14ac:dyDescent="0.25">
      <c r="I8" s="6"/>
      <c r="K8" s="6"/>
      <c r="L8" s="6"/>
      <c r="M8" s="129"/>
      <c r="N8" s="129"/>
    </row>
    <row r="9" spans="1:20" x14ac:dyDescent="0.25">
      <c r="Q9" s="129"/>
    </row>
    <row r="10" spans="1:20" x14ac:dyDescent="0.25">
      <c r="Q10" s="129"/>
    </row>
    <row r="11" spans="1:20" x14ac:dyDescent="0.25">
      <c r="Q11" s="6"/>
    </row>
    <row r="12" spans="1:20" x14ac:dyDescent="0.25">
      <c r="Q12" s="129"/>
    </row>
    <row r="13" spans="1:20" x14ac:dyDescent="0.25">
      <c r="A13">
        <f>IF(ISERROR(MATCH("Auswahl"&amp;Pachseauswahl&amp;Aktionauswahl,FAnsatzAuswahlen,0)),1,MATCH("Auswahl"&amp;Pachseauswahl&amp;Aktionauswahl,FAnsatzAuswahlen,0)-1)</f>
        <v>2</v>
      </c>
      <c r="T13" s="6"/>
    </row>
    <row r="14" spans="1:20" x14ac:dyDescent="0.25">
      <c r="T14" s="6"/>
    </row>
    <row r="15" spans="1:20" x14ac:dyDescent="0.25">
      <c r="T15" s="6"/>
    </row>
    <row r="16" spans="1:20" x14ac:dyDescent="0.25">
      <c r="T16" s="6"/>
    </row>
    <row r="17" spans="17:20" x14ac:dyDescent="0.25">
      <c r="T17" s="6"/>
    </row>
    <row r="18" spans="17:20" x14ac:dyDescent="0.25">
      <c r="T18" s="6"/>
    </row>
    <row r="20" spans="17:20" x14ac:dyDescent="0.25">
      <c r="T20" s="6"/>
    </row>
    <row r="21" spans="17:20" x14ac:dyDescent="0.25">
      <c r="Q21" s="130"/>
    </row>
    <row r="22" spans="17:20" x14ac:dyDescent="0.25">
      <c r="Q22" s="129"/>
    </row>
    <row r="23" spans="17:20" x14ac:dyDescent="0.25">
      <c r="Q23" s="129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3.2" x14ac:dyDescent="0.25"/>
  <cols>
    <col min="2" max="2" width="30.6640625" customWidth="1"/>
  </cols>
  <sheetData>
    <row r="1" spans="1:24" x14ac:dyDescent="0.25">
      <c r="A1" s="4" t="s">
        <v>663</v>
      </c>
      <c r="B1" s="4" t="s">
        <v>594</v>
      </c>
      <c r="C1" s="4" t="s">
        <v>666</v>
      </c>
      <c r="D1" s="4" t="s">
        <v>667</v>
      </c>
      <c r="E1" s="4" t="s">
        <v>671</v>
      </c>
      <c r="F1" s="4" t="s">
        <v>668</v>
      </c>
      <c r="G1" s="4" t="s">
        <v>669</v>
      </c>
      <c r="H1" s="4" t="s">
        <v>693</v>
      </c>
      <c r="I1" s="4" t="s">
        <v>672</v>
      </c>
      <c r="J1" s="4" t="s">
        <v>695</v>
      </c>
      <c r="K1" s="4" t="s">
        <v>696</v>
      </c>
      <c r="L1" s="4" t="s">
        <v>697</v>
      </c>
      <c r="M1" s="4" t="s">
        <v>698</v>
      </c>
      <c r="N1" s="4" t="s">
        <v>699</v>
      </c>
      <c r="O1" s="4" t="s">
        <v>673</v>
      </c>
      <c r="P1" s="4" t="s">
        <v>700</v>
      </c>
      <c r="Q1" s="4" t="s">
        <v>701</v>
      </c>
      <c r="R1" s="4" t="s">
        <v>702</v>
      </c>
      <c r="S1" s="4" t="s">
        <v>670</v>
      </c>
      <c r="T1" s="4" t="s">
        <v>703</v>
      </c>
      <c r="U1" s="4" t="s">
        <v>704</v>
      </c>
      <c r="V1" s="4" t="s">
        <v>757</v>
      </c>
      <c r="W1" s="4" t="s">
        <v>758</v>
      </c>
      <c r="X1" s="4" t="s">
        <v>603</v>
      </c>
    </row>
    <row r="2" spans="1:24" x14ac:dyDescent="0.25">
      <c r="A2" t="e">
        <f t="shared" ref="A2:A7" ca="1" si="0">IF(OFFSET(A2,0,Plstgansatzlisteversatz) = 0,"Bitte auswählen",OFFSET(A2,0,Plstgansatzlisteversatz))</f>
        <v>#NAME?</v>
      </c>
      <c r="B2" t="s">
        <v>279</v>
      </c>
      <c r="X2" t="s">
        <v>662</v>
      </c>
    </row>
    <row r="3" spans="1:24" x14ac:dyDescent="0.25">
      <c r="A3" t="e">
        <f t="shared" ca="1" si="0"/>
        <v>#NAME?</v>
      </c>
      <c r="B3" t="s">
        <v>279</v>
      </c>
      <c r="C3" s="129" t="s">
        <v>664</v>
      </c>
      <c r="D3" t="s">
        <v>665</v>
      </c>
      <c r="E3" t="s">
        <v>665</v>
      </c>
      <c r="F3" t="s">
        <v>665</v>
      </c>
      <c r="G3" s="129" t="s">
        <v>707</v>
      </c>
      <c r="H3" s="129" t="s">
        <v>694</v>
      </c>
      <c r="I3" s="129" t="s">
        <v>664</v>
      </c>
      <c r="J3" s="6" t="s">
        <v>664</v>
      </c>
      <c r="K3" s="6" t="s">
        <v>664</v>
      </c>
      <c r="L3" s="6" t="s">
        <v>664</v>
      </c>
      <c r="M3" s="6" t="s">
        <v>664</v>
      </c>
      <c r="N3" s="6" t="s">
        <v>664</v>
      </c>
      <c r="O3" s="6" t="s">
        <v>664</v>
      </c>
      <c r="P3" s="6" t="s">
        <v>664</v>
      </c>
      <c r="Q3" s="6" t="s">
        <v>664</v>
      </c>
      <c r="R3" s="129" t="s">
        <v>664</v>
      </c>
      <c r="S3" s="6" t="s">
        <v>664</v>
      </c>
      <c r="T3" s="130" t="s">
        <v>664</v>
      </c>
      <c r="U3" s="130" t="s">
        <v>664</v>
      </c>
      <c r="V3" s="130" t="s">
        <v>664</v>
      </c>
      <c r="W3" s="130" t="s">
        <v>664</v>
      </c>
      <c r="X3" t="s">
        <v>665</v>
      </c>
    </row>
    <row r="4" spans="1:24" x14ac:dyDescent="0.25">
      <c r="A4" t="e">
        <f t="shared" ca="1" si="0"/>
        <v>#NAME?</v>
      </c>
      <c r="B4" t="s">
        <v>279</v>
      </c>
      <c r="C4" s="129"/>
      <c r="F4" s="129"/>
      <c r="G4" s="129"/>
      <c r="H4" s="129"/>
      <c r="J4" s="6"/>
      <c r="K4" s="6"/>
      <c r="L4" s="6"/>
      <c r="M4" s="6"/>
      <c r="N4" s="6"/>
      <c r="O4" s="6"/>
      <c r="P4" s="6"/>
      <c r="Q4" s="6"/>
      <c r="T4" s="130"/>
      <c r="U4" s="130"/>
      <c r="V4" s="130"/>
      <c r="W4" s="130"/>
      <c r="X4" t="s">
        <v>664</v>
      </c>
    </row>
    <row r="5" spans="1:24" x14ac:dyDescent="0.25">
      <c r="A5" t="e">
        <f t="shared" ca="1" si="0"/>
        <v>#NAME?</v>
      </c>
      <c r="B5" t="s">
        <v>279</v>
      </c>
      <c r="J5" s="6"/>
      <c r="K5" s="6"/>
      <c r="L5" s="6"/>
      <c r="M5" s="6"/>
      <c r="N5" s="6"/>
      <c r="O5" s="6"/>
      <c r="P5" s="6"/>
      <c r="Q5" s="6"/>
      <c r="X5" s="129" t="s">
        <v>687</v>
      </c>
    </row>
    <row r="6" spans="1:24" x14ac:dyDescent="0.25">
      <c r="A6" t="e">
        <f t="shared" ca="1" si="0"/>
        <v>#NAME?</v>
      </c>
      <c r="B6" t="s">
        <v>279</v>
      </c>
      <c r="J6" s="6"/>
      <c r="K6" s="6"/>
      <c r="L6" s="6"/>
      <c r="M6" s="6"/>
      <c r="N6" s="6"/>
      <c r="O6" s="6"/>
      <c r="P6" s="6"/>
      <c r="Q6" s="6"/>
      <c r="X6" s="129" t="s">
        <v>688</v>
      </c>
    </row>
    <row r="7" spans="1:24" x14ac:dyDescent="0.25">
      <c r="A7" t="e">
        <f t="shared" ca="1" si="0"/>
        <v>#NAME?</v>
      </c>
      <c r="B7" t="s">
        <v>279</v>
      </c>
      <c r="J7" s="6"/>
      <c r="K7" s="6"/>
      <c r="L7" s="6"/>
      <c r="M7" s="6"/>
      <c r="N7" s="6"/>
      <c r="O7" s="6"/>
      <c r="P7" s="6"/>
      <c r="Q7" s="6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2" sqref="A2"/>
    </sheetView>
  </sheetViews>
  <sheetFormatPr baseColWidth="10" defaultRowHeight="13.2" x14ac:dyDescent="0.25"/>
  <cols>
    <col min="1" max="1" width="65.6640625" customWidth="1"/>
  </cols>
  <sheetData>
    <row r="1" spans="1:1" x14ac:dyDescent="0.25">
      <c r="A1" s="6" t="s">
        <v>662</v>
      </c>
    </row>
    <row r="2" spans="1:1" x14ac:dyDescent="0.25">
      <c r="A2" s="188" t="s">
        <v>955</v>
      </c>
    </row>
    <row r="3" spans="1:1" x14ac:dyDescent="0.25">
      <c r="A3" s="188"/>
    </row>
    <row r="4" spans="1:1" x14ac:dyDescent="0.25">
      <c r="A4" s="188"/>
    </row>
    <row r="5" spans="1:1" x14ac:dyDescent="0.25">
      <c r="A5" s="188"/>
    </row>
    <row r="6" spans="1:1" x14ac:dyDescent="0.25">
      <c r="A6" s="188"/>
    </row>
    <row r="7" spans="1:1" x14ac:dyDescent="0.25">
      <c r="A7" s="137"/>
    </row>
    <row r="8" spans="1:1" x14ac:dyDescent="0.25">
      <c r="A8" s="130"/>
    </row>
    <row r="9" spans="1:1" x14ac:dyDescent="0.25">
      <c r="A9" s="130"/>
    </row>
    <row r="10" spans="1:1" x14ac:dyDescent="0.25">
      <c r="A10" s="130"/>
    </row>
    <row r="11" spans="1:1" x14ac:dyDescent="0.25">
      <c r="A11" s="130"/>
    </row>
    <row r="12" spans="1:1" x14ac:dyDescent="0.25">
      <c r="A12" s="130"/>
    </row>
    <row r="13" spans="1:1" x14ac:dyDescent="0.25">
      <c r="A13" s="130"/>
    </row>
    <row r="15" spans="1:1" x14ac:dyDescent="0.25">
      <c r="A15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3.2" x14ac:dyDescent="0.25"/>
  <sheetData>
    <row r="2" spans="1:1" x14ac:dyDescent="0.25">
      <c r="A2" t="s">
        <v>681</v>
      </c>
    </row>
    <row r="3" spans="1:1" x14ac:dyDescent="0.25">
      <c r="A3" t="s">
        <v>680</v>
      </c>
    </row>
  </sheetData>
  <phoneticPr fontId="30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11"/>
  <sheetViews>
    <sheetView workbookViewId="0">
      <selection activeCell="A6" sqref="A6"/>
    </sheetView>
  </sheetViews>
  <sheetFormatPr baseColWidth="10" defaultRowHeight="13.2" x14ac:dyDescent="0.25"/>
  <sheetData>
    <row r="2" spans="1:1" x14ac:dyDescent="0.25">
      <c r="A2" s="8" t="s">
        <v>140</v>
      </c>
    </row>
    <row r="3" spans="1:1" x14ac:dyDescent="0.25">
      <c r="A3" s="147" t="s">
        <v>934</v>
      </c>
    </row>
    <row r="4" spans="1:1" x14ac:dyDescent="0.25">
      <c r="A4" s="147" t="s">
        <v>922</v>
      </c>
    </row>
    <row r="5" spans="1:1" x14ac:dyDescent="0.25">
      <c r="A5" s="147" t="s">
        <v>923</v>
      </c>
    </row>
    <row r="6" spans="1:1" x14ac:dyDescent="0.25">
      <c r="A6" s="147" t="s">
        <v>925</v>
      </c>
    </row>
    <row r="7" spans="1:1" x14ac:dyDescent="0.25">
      <c r="A7" s="147" t="s">
        <v>924</v>
      </c>
    </row>
    <row r="8" spans="1:1" x14ac:dyDescent="0.25">
      <c r="A8" s="147" t="s">
        <v>802</v>
      </c>
    </row>
    <row r="9" spans="1:1" x14ac:dyDescent="0.25">
      <c r="A9" s="13" t="s">
        <v>684</v>
      </c>
    </row>
    <row r="10" spans="1:1" x14ac:dyDescent="0.25">
      <c r="A10" s="8" t="s">
        <v>683</v>
      </c>
    </row>
    <row r="11" spans="1:1" x14ac:dyDescent="0.25">
      <c r="A11" s="8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74"/>
  <sheetViews>
    <sheetView topLeftCell="A10" workbookViewId="0">
      <selection activeCell="B31" sqref="B31"/>
    </sheetView>
  </sheetViews>
  <sheetFormatPr baseColWidth="10" defaultRowHeight="13.2" x14ac:dyDescent="0.25"/>
  <cols>
    <col min="1" max="1" width="29" style="94" customWidth="1"/>
    <col min="2" max="2" width="34.6640625" style="94" customWidth="1"/>
  </cols>
  <sheetData>
    <row r="1" spans="1:2" x14ac:dyDescent="0.25">
      <c r="A1" s="94" t="s">
        <v>293</v>
      </c>
      <c r="B1" s="94" t="s">
        <v>386</v>
      </c>
    </row>
    <row r="2" spans="1:2" x14ac:dyDescent="0.25">
      <c r="A2" s="94" t="s">
        <v>387</v>
      </c>
      <c r="B2" s="94" t="s">
        <v>388</v>
      </c>
    </row>
    <row r="3" spans="1:2" x14ac:dyDescent="0.25">
      <c r="A3" s="94" t="s">
        <v>389</v>
      </c>
      <c r="B3" s="94" t="s">
        <v>390</v>
      </c>
    </row>
    <row r="4" spans="1:2" x14ac:dyDescent="0.25">
      <c r="A4" s="94" t="s">
        <v>391</v>
      </c>
      <c r="B4" s="94" t="s">
        <v>392</v>
      </c>
    </row>
    <row r="5" spans="1:2" x14ac:dyDescent="0.25">
      <c r="A5" s="94" t="s">
        <v>393</v>
      </c>
      <c r="B5" s="94" t="s">
        <v>394</v>
      </c>
    </row>
    <row r="6" spans="1:2" x14ac:dyDescent="0.25">
      <c r="A6" s="94" t="s">
        <v>294</v>
      </c>
      <c r="B6" s="94" t="s">
        <v>295</v>
      </c>
    </row>
    <row r="7" spans="1:2" x14ac:dyDescent="0.25">
      <c r="A7" s="94" t="s">
        <v>174</v>
      </c>
      <c r="B7" s="94" t="s">
        <v>395</v>
      </c>
    </row>
    <row r="8" spans="1:2" x14ac:dyDescent="0.25">
      <c r="A8" s="94" t="s">
        <v>291</v>
      </c>
      <c r="B8" s="94" t="s">
        <v>306</v>
      </c>
    </row>
    <row r="9" spans="1:2" x14ac:dyDescent="0.25">
      <c r="A9" s="94" t="s">
        <v>287</v>
      </c>
      <c r="B9" s="94" t="s">
        <v>297</v>
      </c>
    </row>
    <row r="10" spans="1:2" x14ac:dyDescent="0.25">
      <c r="A10" s="94" t="s">
        <v>361</v>
      </c>
      <c r="B10" s="94" t="s">
        <v>396</v>
      </c>
    </row>
    <row r="11" spans="1:2" x14ac:dyDescent="0.25">
      <c r="A11" s="94" t="s">
        <v>360</v>
      </c>
      <c r="B11" s="94" t="s">
        <v>543</v>
      </c>
    </row>
    <row r="12" spans="1:2" x14ac:dyDescent="0.25">
      <c r="A12" s="94" t="s">
        <v>362</v>
      </c>
      <c r="B12" s="94" t="s">
        <v>398</v>
      </c>
    </row>
    <row r="13" spans="1:2" x14ac:dyDescent="0.25">
      <c r="A13" s="94" t="s">
        <v>544</v>
      </c>
      <c r="B13" s="94" t="s">
        <v>545</v>
      </c>
    </row>
    <row r="14" spans="1:2" x14ac:dyDescent="0.25">
      <c r="A14" s="94" t="s">
        <v>541</v>
      </c>
      <c r="B14" s="94" t="s">
        <v>232</v>
      </c>
    </row>
    <row r="15" spans="1:2" x14ac:dyDescent="0.25">
      <c r="A15" s="94" t="s">
        <v>211</v>
      </c>
      <c r="B15" s="94" t="s">
        <v>231</v>
      </c>
    </row>
    <row r="16" spans="1:2" x14ac:dyDescent="0.25">
      <c r="A16" s="94" t="s">
        <v>298</v>
      </c>
      <c r="B16" s="94" t="s">
        <v>399</v>
      </c>
    </row>
    <row r="17" spans="1:2" x14ac:dyDescent="0.25">
      <c r="A17" s="94" t="s">
        <v>299</v>
      </c>
      <c r="B17" s="94" t="s">
        <v>400</v>
      </c>
    </row>
    <row r="18" spans="1:2" x14ac:dyDescent="0.25">
      <c r="A18" s="94" t="s">
        <v>300</v>
      </c>
      <c r="B18" s="94" t="s">
        <v>401</v>
      </c>
    </row>
    <row r="19" spans="1:2" x14ac:dyDescent="0.25">
      <c r="A19" s="94" t="s">
        <v>402</v>
      </c>
      <c r="B19" s="94" t="s">
        <v>403</v>
      </c>
    </row>
    <row r="20" spans="1:2" x14ac:dyDescent="0.25">
      <c r="A20" s="94" t="s">
        <v>301</v>
      </c>
      <c r="B20" s="94" t="s">
        <v>404</v>
      </c>
    </row>
    <row r="21" spans="1:2" x14ac:dyDescent="0.25">
      <c r="A21" s="94" t="s">
        <v>220</v>
      </c>
      <c r="B21" s="94" t="s">
        <v>302</v>
      </c>
    </row>
    <row r="22" spans="1:2" x14ac:dyDescent="0.25">
      <c r="A22" s="94" t="s">
        <v>405</v>
      </c>
      <c r="B22" s="94" t="s">
        <v>406</v>
      </c>
    </row>
    <row r="23" spans="1:2" x14ac:dyDescent="0.25">
      <c r="A23" s="94" t="s">
        <v>407</v>
      </c>
      <c r="B23" s="94" t="s">
        <v>408</v>
      </c>
    </row>
    <row r="24" spans="1:2" x14ac:dyDescent="0.25">
      <c r="A24" s="94" t="s">
        <v>409</v>
      </c>
      <c r="B24" s="94" t="s">
        <v>410</v>
      </c>
    </row>
    <row r="25" spans="1:2" x14ac:dyDescent="0.25">
      <c r="A25" s="94" t="s">
        <v>411</v>
      </c>
      <c r="B25" s="94" t="s">
        <v>412</v>
      </c>
    </row>
    <row r="26" spans="1:2" x14ac:dyDescent="0.25">
      <c r="A26" s="94" t="s">
        <v>546</v>
      </c>
      <c r="B26" s="94" t="s">
        <v>547</v>
      </c>
    </row>
    <row r="27" spans="1:2" x14ac:dyDescent="0.25">
      <c r="A27" s="94" t="s">
        <v>233</v>
      </c>
      <c r="B27" s="94" t="s">
        <v>234</v>
      </c>
    </row>
    <row r="28" spans="1:2" x14ac:dyDescent="0.25">
      <c r="A28" s="94" t="s">
        <v>383</v>
      </c>
      <c r="B28" s="94" t="s">
        <v>548</v>
      </c>
    </row>
    <row r="29" spans="1:2" x14ac:dyDescent="0.25">
      <c r="A29" s="94" t="s">
        <v>413</v>
      </c>
      <c r="B29" s="94" t="s">
        <v>416</v>
      </c>
    </row>
    <row r="30" spans="1:2" x14ac:dyDescent="0.25">
      <c r="A30" s="94" t="s">
        <v>414</v>
      </c>
      <c r="B30" s="94" t="s">
        <v>548</v>
      </c>
    </row>
    <row r="31" spans="1:2" x14ac:dyDescent="0.25">
      <c r="A31" s="94" t="s">
        <v>52</v>
      </c>
      <c r="B31" s="94" t="s">
        <v>303</v>
      </c>
    </row>
    <row r="32" spans="1:2" x14ac:dyDescent="0.25">
      <c r="A32" s="94" t="s">
        <v>531</v>
      </c>
      <c r="B32" s="94" t="s">
        <v>549</v>
      </c>
    </row>
    <row r="33" spans="1:2" x14ac:dyDescent="0.25">
      <c r="A33" s="94" t="s">
        <v>550</v>
      </c>
      <c r="B33" s="94" t="s">
        <v>551</v>
      </c>
    </row>
    <row r="34" spans="1:2" x14ac:dyDescent="0.25">
      <c r="A34" s="94" t="s">
        <v>552</v>
      </c>
      <c r="B34" s="94" t="s">
        <v>553</v>
      </c>
    </row>
    <row r="35" spans="1:2" x14ac:dyDescent="0.25">
      <c r="A35" s="94" t="s">
        <v>554</v>
      </c>
      <c r="B35" s="94" t="s">
        <v>555</v>
      </c>
    </row>
    <row r="36" spans="1:2" x14ac:dyDescent="0.25">
      <c r="A36" s="94" t="s">
        <v>532</v>
      </c>
      <c r="B36" s="94" t="s">
        <v>533</v>
      </c>
    </row>
    <row r="37" spans="1:2" x14ac:dyDescent="0.25">
      <c r="A37" s="94" t="s">
        <v>415</v>
      </c>
      <c r="B37" s="94" t="s">
        <v>513</v>
      </c>
    </row>
    <row r="38" spans="1:2" x14ac:dyDescent="0.25">
      <c r="A38" s="94" t="s">
        <v>417</v>
      </c>
      <c r="B38" s="94" t="s">
        <v>534</v>
      </c>
    </row>
    <row r="39" spans="1:2" x14ac:dyDescent="0.25">
      <c r="A39" s="94" t="s">
        <v>350</v>
      </c>
      <c r="B39" s="94" t="s">
        <v>576</v>
      </c>
    </row>
    <row r="40" spans="1:2" x14ac:dyDescent="0.25">
      <c r="A40" s="94" t="s">
        <v>530</v>
      </c>
      <c r="B40" s="94" t="s">
        <v>535</v>
      </c>
    </row>
    <row r="41" spans="1:2" x14ac:dyDescent="0.25">
      <c r="A41" s="94" t="s">
        <v>259</v>
      </c>
      <c r="B41" s="94" t="s">
        <v>304</v>
      </c>
    </row>
    <row r="42" spans="1:2" x14ac:dyDescent="0.25">
      <c r="A42" s="94" t="s">
        <v>235</v>
      </c>
      <c r="B42" s="94" t="s">
        <v>419</v>
      </c>
    </row>
    <row r="43" spans="1:2" x14ac:dyDescent="0.25">
      <c r="A43" s="94" t="s">
        <v>236</v>
      </c>
      <c r="B43" s="94" t="s">
        <v>326</v>
      </c>
    </row>
    <row r="44" spans="1:2" x14ac:dyDescent="0.25">
      <c r="A44" s="94" t="s">
        <v>238</v>
      </c>
      <c r="B44" s="94" t="s">
        <v>420</v>
      </c>
    </row>
    <row r="45" spans="1:2" x14ac:dyDescent="0.25">
      <c r="A45" s="94" t="s">
        <v>421</v>
      </c>
      <c r="B45" s="94" t="s">
        <v>422</v>
      </c>
    </row>
    <row r="46" spans="1:2" x14ac:dyDescent="0.25">
      <c r="A46" s="94" t="s">
        <v>164</v>
      </c>
      <c r="B46" s="94" t="s">
        <v>423</v>
      </c>
    </row>
    <row r="47" spans="1:2" x14ac:dyDescent="0.25">
      <c r="A47" s="94" t="s">
        <v>424</v>
      </c>
      <c r="B47" s="94" t="s">
        <v>425</v>
      </c>
    </row>
    <row r="48" spans="1:2" x14ac:dyDescent="0.25">
      <c r="A48" s="94" t="s">
        <v>426</v>
      </c>
      <c r="B48" s="94" t="s">
        <v>253</v>
      </c>
    </row>
    <row r="49" spans="1:2" x14ac:dyDescent="0.25">
      <c r="A49" s="94" t="s">
        <v>427</v>
      </c>
      <c r="B49" s="94" t="s">
        <v>428</v>
      </c>
    </row>
    <row r="50" spans="1:2" x14ac:dyDescent="0.25">
      <c r="A50" s="94" t="s">
        <v>429</v>
      </c>
      <c r="B50" s="94" t="s">
        <v>430</v>
      </c>
    </row>
    <row r="51" spans="1:2" x14ac:dyDescent="0.25">
      <c r="A51" s="94" t="s">
        <v>53</v>
      </c>
      <c r="B51" s="94" t="s">
        <v>305</v>
      </c>
    </row>
    <row r="52" spans="1:2" x14ac:dyDescent="0.25">
      <c r="A52" s="94" t="s">
        <v>431</v>
      </c>
      <c r="B52" s="94" t="s">
        <v>432</v>
      </c>
    </row>
    <row r="53" spans="1:2" x14ac:dyDescent="0.25">
      <c r="A53" s="94" t="s">
        <v>433</v>
      </c>
      <c r="B53" s="94" t="s">
        <v>230</v>
      </c>
    </row>
    <row r="54" spans="1:2" x14ac:dyDescent="0.25">
      <c r="A54" s="94" t="s">
        <v>434</v>
      </c>
      <c r="B54" s="94" t="s">
        <v>435</v>
      </c>
    </row>
    <row r="55" spans="1:2" x14ac:dyDescent="0.25">
      <c r="A55" s="94" t="s">
        <v>436</v>
      </c>
      <c r="B55" s="94" t="s">
        <v>437</v>
      </c>
    </row>
    <row r="56" spans="1:2" x14ac:dyDescent="0.25">
      <c r="A56" s="94" t="s">
        <v>438</v>
      </c>
      <c r="B56" s="94" t="s">
        <v>577</v>
      </c>
    </row>
    <row r="57" spans="1:2" x14ac:dyDescent="0.25">
      <c r="A57" s="94" t="s">
        <v>210</v>
      </c>
      <c r="B57" s="94" t="s">
        <v>240</v>
      </c>
    </row>
    <row r="58" spans="1:2" x14ac:dyDescent="0.25">
      <c r="A58" s="94" t="s">
        <v>556</v>
      </c>
      <c r="B58" s="94" t="s">
        <v>557</v>
      </c>
    </row>
    <row r="59" spans="1:2" x14ac:dyDescent="0.25">
      <c r="A59" s="94" t="s">
        <v>440</v>
      </c>
      <c r="B59" s="94" t="s">
        <v>441</v>
      </c>
    </row>
    <row r="60" spans="1:2" x14ac:dyDescent="0.25">
      <c r="A60" s="94" t="s">
        <v>442</v>
      </c>
      <c r="B60" s="94" t="s">
        <v>327</v>
      </c>
    </row>
    <row r="61" spans="1:2" x14ac:dyDescent="0.25">
      <c r="A61" s="94" t="s">
        <v>443</v>
      </c>
      <c r="B61" s="94" t="s">
        <v>444</v>
      </c>
    </row>
    <row r="62" spans="1:2" x14ac:dyDescent="0.25">
      <c r="A62" s="94" t="s">
        <v>445</v>
      </c>
      <c r="B62" s="94" t="s">
        <v>446</v>
      </c>
    </row>
    <row r="63" spans="1:2" x14ac:dyDescent="0.25">
      <c r="A63" s="94" t="s">
        <v>447</v>
      </c>
      <c r="B63" s="94" t="s">
        <v>439</v>
      </c>
    </row>
    <row r="64" spans="1:2" x14ac:dyDescent="0.25">
      <c r="A64" s="94" t="s">
        <v>348</v>
      </c>
      <c r="B64" s="94" t="s">
        <v>448</v>
      </c>
    </row>
    <row r="65" spans="1:2" x14ac:dyDescent="0.25">
      <c r="A65" s="94" t="s">
        <v>342</v>
      </c>
      <c r="B65" s="94" t="s">
        <v>449</v>
      </c>
    </row>
    <row r="66" spans="1:2" x14ac:dyDescent="0.25">
      <c r="A66" s="94" t="s">
        <v>241</v>
      </c>
      <c r="B66" s="94" t="s">
        <v>242</v>
      </c>
    </row>
    <row r="67" spans="1:2" x14ac:dyDescent="0.25">
      <c r="A67" s="94" t="s">
        <v>450</v>
      </c>
      <c r="B67" s="94" t="s">
        <v>320</v>
      </c>
    </row>
    <row r="68" spans="1:2" x14ac:dyDescent="0.25">
      <c r="A68" s="94" t="s">
        <v>451</v>
      </c>
      <c r="B68" s="94" t="s">
        <v>458</v>
      </c>
    </row>
    <row r="69" spans="1:2" x14ac:dyDescent="0.25">
      <c r="A69" s="94" t="s">
        <v>453</v>
      </c>
      <c r="B69" s="94" t="s">
        <v>452</v>
      </c>
    </row>
    <row r="70" spans="1:2" x14ac:dyDescent="0.25">
      <c r="A70" s="94" t="s">
        <v>455</v>
      </c>
      <c r="B70" s="94" t="s">
        <v>454</v>
      </c>
    </row>
    <row r="71" spans="1:2" x14ac:dyDescent="0.25">
      <c r="A71" s="94" t="s">
        <v>457</v>
      </c>
      <c r="B71" s="94" t="s">
        <v>558</v>
      </c>
    </row>
    <row r="72" spans="1:2" x14ac:dyDescent="0.25">
      <c r="A72" s="94" t="s">
        <v>347</v>
      </c>
      <c r="B72" s="94" t="s">
        <v>459</v>
      </c>
    </row>
    <row r="73" spans="1:2" x14ac:dyDescent="0.25">
      <c r="A73" s="94" t="s">
        <v>307</v>
      </c>
      <c r="B73" s="94" t="s">
        <v>313</v>
      </c>
    </row>
    <row r="74" spans="1:2" x14ac:dyDescent="0.25">
      <c r="A74" s="94" t="s">
        <v>309</v>
      </c>
      <c r="B74" s="94" t="s">
        <v>310</v>
      </c>
    </row>
    <row r="75" spans="1:2" x14ac:dyDescent="0.25">
      <c r="A75" s="94" t="s">
        <v>165</v>
      </c>
      <c r="B75" s="94" t="s">
        <v>559</v>
      </c>
    </row>
    <row r="76" spans="1:2" x14ac:dyDescent="0.25">
      <c r="A76" s="94" t="s">
        <v>186</v>
      </c>
      <c r="B76" s="94" t="s">
        <v>560</v>
      </c>
    </row>
    <row r="77" spans="1:2" x14ac:dyDescent="0.25">
      <c r="A77" s="94" t="s">
        <v>461</v>
      </c>
      <c r="B77" s="94" t="s">
        <v>462</v>
      </c>
    </row>
    <row r="78" spans="1:2" x14ac:dyDescent="0.25">
      <c r="A78" s="94" t="s">
        <v>463</v>
      </c>
      <c r="B78" s="94" t="s">
        <v>464</v>
      </c>
    </row>
    <row r="79" spans="1:2" x14ac:dyDescent="0.25">
      <c r="A79" s="94" t="s">
        <v>466</v>
      </c>
      <c r="B79" s="94" t="s">
        <v>472</v>
      </c>
    </row>
    <row r="80" spans="1:2" x14ac:dyDescent="0.25">
      <c r="A80" s="94" t="s">
        <v>468</v>
      </c>
      <c r="B80" s="94" t="s">
        <v>467</v>
      </c>
    </row>
    <row r="81" spans="1:2" x14ac:dyDescent="0.25">
      <c r="A81" s="94" t="s">
        <v>470</v>
      </c>
      <c r="B81" s="94" t="s">
        <v>469</v>
      </c>
    </row>
    <row r="82" spans="1:2" x14ac:dyDescent="0.25">
      <c r="A82" s="94" t="s">
        <v>471</v>
      </c>
      <c r="B82" s="94" t="s">
        <v>456</v>
      </c>
    </row>
    <row r="83" spans="1:2" x14ac:dyDescent="0.25">
      <c r="A83" s="94" t="s">
        <v>473</v>
      </c>
      <c r="B83" s="94" t="s">
        <v>474</v>
      </c>
    </row>
    <row r="84" spans="1:2" x14ac:dyDescent="0.25">
      <c r="A84" s="94" t="s">
        <v>196</v>
      </c>
      <c r="B84" s="94" t="s">
        <v>561</v>
      </c>
    </row>
    <row r="85" spans="1:2" x14ac:dyDescent="0.25">
      <c r="A85" s="94" t="s">
        <v>476</v>
      </c>
      <c r="B85" s="94" t="s">
        <v>477</v>
      </c>
    </row>
    <row r="86" spans="1:2" x14ac:dyDescent="0.25">
      <c r="A86" s="94" t="s">
        <v>478</v>
      </c>
      <c r="B86" s="94" t="s">
        <v>479</v>
      </c>
    </row>
    <row r="87" spans="1:2" x14ac:dyDescent="0.25">
      <c r="A87" s="94" t="s">
        <v>480</v>
      </c>
      <c r="B87" s="94" t="s">
        <v>481</v>
      </c>
    </row>
    <row r="88" spans="1:2" x14ac:dyDescent="0.25">
      <c r="A88" s="94" t="s">
        <v>482</v>
      </c>
      <c r="B88" s="94" t="s">
        <v>483</v>
      </c>
    </row>
    <row r="89" spans="1:2" x14ac:dyDescent="0.25">
      <c r="A89" s="94" t="s">
        <v>484</v>
      </c>
      <c r="B89" s="94" t="s">
        <v>485</v>
      </c>
    </row>
    <row r="90" spans="1:2" x14ac:dyDescent="0.25">
      <c r="A90" s="94" t="s">
        <v>486</v>
      </c>
      <c r="B90" s="94" t="s">
        <v>487</v>
      </c>
    </row>
    <row r="91" spans="1:2" x14ac:dyDescent="0.25">
      <c r="A91" s="94" t="s">
        <v>488</v>
      </c>
      <c r="B91" s="94" t="s">
        <v>489</v>
      </c>
    </row>
    <row r="92" spans="1:2" x14ac:dyDescent="0.25">
      <c r="A92" s="94" t="s">
        <v>490</v>
      </c>
      <c r="B92" s="94" t="s">
        <v>311</v>
      </c>
    </row>
    <row r="93" spans="1:2" x14ac:dyDescent="0.25">
      <c r="A93" s="94" t="s">
        <v>42</v>
      </c>
      <c r="B93" s="94" t="s">
        <v>578</v>
      </c>
    </row>
    <row r="94" spans="1:2" x14ac:dyDescent="0.25">
      <c r="A94" s="94" t="s">
        <v>312</v>
      </c>
      <c r="B94" s="94" t="s">
        <v>491</v>
      </c>
    </row>
    <row r="95" spans="1:2" x14ac:dyDescent="0.25">
      <c r="A95" s="94" t="s">
        <v>268</v>
      </c>
      <c r="B95" s="94" t="s">
        <v>492</v>
      </c>
    </row>
    <row r="96" spans="1:2" x14ac:dyDescent="0.25">
      <c r="A96" s="94" t="s">
        <v>248</v>
      </c>
      <c r="B96" s="94" t="s">
        <v>493</v>
      </c>
    </row>
    <row r="97" spans="1:2" x14ac:dyDescent="0.25">
      <c r="A97" s="94" t="s">
        <v>249</v>
      </c>
      <c r="B97" s="94" t="s">
        <v>494</v>
      </c>
    </row>
    <row r="98" spans="1:2" x14ac:dyDescent="0.25">
      <c r="A98" s="94" t="s">
        <v>562</v>
      </c>
      <c r="B98" s="94" t="s">
        <v>563</v>
      </c>
    </row>
    <row r="99" spans="1:2" x14ac:dyDescent="0.25">
      <c r="A99" s="94" t="s">
        <v>215</v>
      </c>
      <c r="B99" s="94" t="s">
        <v>495</v>
      </c>
    </row>
    <row r="100" spans="1:2" x14ac:dyDescent="0.25">
      <c r="A100" s="94" t="s">
        <v>496</v>
      </c>
      <c r="B100" s="94" t="s">
        <v>497</v>
      </c>
    </row>
    <row r="101" spans="1:2" x14ac:dyDescent="0.25">
      <c r="A101" s="94" t="s">
        <v>498</v>
      </c>
      <c r="B101" s="94" t="s">
        <v>247</v>
      </c>
    </row>
    <row r="102" spans="1:2" x14ac:dyDescent="0.25">
      <c r="A102" s="94" t="s">
        <v>499</v>
      </c>
      <c r="B102" s="94" t="s">
        <v>500</v>
      </c>
    </row>
    <row r="103" spans="1:2" x14ac:dyDescent="0.25">
      <c r="A103" s="94" t="s">
        <v>501</v>
      </c>
      <c r="B103" s="94" t="s">
        <v>502</v>
      </c>
    </row>
    <row r="104" spans="1:2" x14ac:dyDescent="0.25">
      <c r="A104" s="94" t="s">
        <v>353</v>
      </c>
      <c r="B104" s="94" t="s">
        <v>418</v>
      </c>
    </row>
    <row r="105" spans="1:2" x14ac:dyDescent="0.25">
      <c r="A105" s="94" t="s">
        <v>351</v>
      </c>
      <c r="B105" s="94" t="s">
        <v>503</v>
      </c>
    </row>
    <row r="106" spans="1:2" x14ac:dyDescent="0.25">
      <c r="A106" s="94" t="s">
        <v>505</v>
      </c>
      <c r="B106" s="94" t="s">
        <v>504</v>
      </c>
    </row>
    <row r="107" spans="1:2" x14ac:dyDescent="0.25">
      <c r="A107" s="94" t="s">
        <v>250</v>
      </c>
      <c r="B107" s="94" t="s">
        <v>507</v>
      </c>
    </row>
    <row r="108" spans="1:2" x14ac:dyDescent="0.25">
      <c r="A108" s="94" t="s">
        <v>508</v>
      </c>
      <c r="B108" s="94" t="s">
        <v>509</v>
      </c>
    </row>
    <row r="109" spans="1:2" x14ac:dyDescent="0.25">
      <c r="A109" s="94" t="s">
        <v>290</v>
      </c>
      <c r="B109" s="94" t="s">
        <v>296</v>
      </c>
    </row>
    <row r="110" spans="1:2" x14ac:dyDescent="0.25">
      <c r="A110" s="94" t="s">
        <v>286</v>
      </c>
      <c r="B110" s="94" t="s">
        <v>314</v>
      </c>
    </row>
    <row r="111" spans="1:2" x14ac:dyDescent="0.25">
      <c r="A111" s="94" t="s">
        <v>542</v>
      </c>
      <c r="B111" s="94" t="s">
        <v>465</v>
      </c>
    </row>
    <row r="112" spans="1:2" x14ac:dyDescent="0.25">
      <c r="A112" s="94" t="s">
        <v>564</v>
      </c>
      <c r="B112" s="94" t="s">
        <v>565</v>
      </c>
    </row>
    <row r="113" spans="1:2" x14ac:dyDescent="0.25">
      <c r="A113" s="94" t="s">
        <v>510</v>
      </c>
      <c r="B113" s="94" t="s">
        <v>515</v>
      </c>
    </row>
    <row r="114" spans="1:2" x14ac:dyDescent="0.25">
      <c r="A114" s="94" t="s">
        <v>292</v>
      </c>
      <c r="B114" s="94" t="s">
        <v>315</v>
      </c>
    </row>
    <row r="115" spans="1:2" x14ac:dyDescent="0.25">
      <c r="A115" s="94" t="s">
        <v>316</v>
      </c>
      <c r="B115" s="94" t="s">
        <v>317</v>
      </c>
    </row>
    <row r="116" spans="1:2" x14ac:dyDescent="0.25">
      <c r="A116" s="94" t="s">
        <v>318</v>
      </c>
      <c r="B116" s="94" t="s">
        <v>511</v>
      </c>
    </row>
    <row r="117" spans="1:2" x14ac:dyDescent="0.25">
      <c r="A117" s="94" t="s">
        <v>365</v>
      </c>
      <c r="B117" s="94" t="s">
        <v>512</v>
      </c>
    </row>
    <row r="118" spans="1:2" x14ac:dyDescent="0.25">
      <c r="A118" s="94" t="s">
        <v>319</v>
      </c>
      <c r="B118" s="94" t="s">
        <v>340</v>
      </c>
    </row>
    <row r="119" spans="1:2" x14ac:dyDescent="0.25">
      <c r="A119" s="94" t="s">
        <v>321</v>
      </c>
      <c r="B119" s="94" t="s">
        <v>322</v>
      </c>
    </row>
    <row r="120" spans="1:2" x14ac:dyDescent="0.25">
      <c r="A120" s="94" t="s">
        <v>251</v>
      </c>
      <c r="B120" s="94" t="s">
        <v>460</v>
      </c>
    </row>
    <row r="121" spans="1:2" x14ac:dyDescent="0.25">
      <c r="A121" s="94" t="s">
        <v>363</v>
      </c>
      <c r="B121" s="94" t="s">
        <v>323</v>
      </c>
    </row>
    <row r="122" spans="1:2" x14ac:dyDescent="0.25">
      <c r="A122" s="94" t="s">
        <v>377</v>
      </c>
      <c r="B122" s="94" t="s">
        <v>514</v>
      </c>
    </row>
    <row r="123" spans="1:2" x14ac:dyDescent="0.25">
      <c r="A123" s="94" t="s">
        <v>371</v>
      </c>
      <c r="B123" s="94" t="s">
        <v>579</v>
      </c>
    </row>
    <row r="124" spans="1:2" x14ac:dyDescent="0.25">
      <c r="A124" s="94" t="s">
        <v>566</v>
      </c>
      <c r="B124" s="94" t="s">
        <v>397</v>
      </c>
    </row>
    <row r="125" spans="1:2" x14ac:dyDescent="0.25">
      <c r="A125" s="94" t="s">
        <v>567</v>
      </c>
      <c r="B125" s="94" t="s">
        <v>568</v>
      </c>
    </row>
    <row r="126" spans="1:2" x14ac:dyDescent="0.25">
      <c r="A126" s="94" t="s">
        <v>264</v>
      </c>
      <c r="B126" s="94" t="s">
        <v>324</v>
      </c>
    </row>
    <row r="127" spans="1:2" x14ac:dyDescent="0.25">
      <c r="A127" s="94" t="s">
        <v>569</v>
      </c>
      <c r="B127" s="94" t="s">
        <v>570</v>
      </c>
    </row>
    <row r="128" spans="1:2" x14ac:dyDescent="0.25">
      <c r="A128" s="94" t="s">
        <v>516</v>
      </c>
      <c r="B128" s="94" t="s">
        <v>517</v>
      </c>
    </row>
    <row r="129" spans="1:2" x14ac:dyDescent="0.25">
      <c r="A129" s="94" t="s">
        <v>518</v>
      </c>
      <c r="B129" s="94" t="s">
        <v>252</v>
      </c>
    </row>
    <row r="130" spans="1:2" x14ac:dyDescent="0.25">
      <c r="A130" s="94" t="s">
        <v>519</v>
      </c>
      <c r="B130" s="94" t="s">
        <v>520</v>
      </c>
    </row>
    <row r="131" spans="1:2" x14ac:dyDescent="0.25">
      <c r="A131" s="94" t="s">
        <v>521</v>
      </c>
      <c r="B131" s="94" t="s">
        <v>522</v>
      </c>
    </row>
    <row r="132" spans="1:2" x14ac:dyDescent="0.25">
      <c r="A132" s="94" t="s">
        <v>571</v>
      </c>
      <c r="B132" s="94" t="s">
        <v>572</v>
      </c>
    </row>
    <row r="133" spans="1:2" x14ac:dyDescent="0.25">
      <c r="A133" s="94" t="s">
        <v>523</v>
      </c>
      <c r="B133" s="94" t="s">
        <v>524</v>
      </c>
    </row>
    <row r="134" spans="1:2" x14ac:dyDescent="0.25">
      <c r="A134" s="94" t="s">
        <v>525</v>
      </c>
      <c r="B134" s="94" t="s">
        <v>239</v>
      </c>
    </row>
    <row r="135" spans="1:2" x14ac:dyDescent="0.25">
      <c r="A135" s="94" t="s">
        <v>526</v>
      </c>
      <c r="B135" s="94" t="s">
        <v>527</v>
      </c>
    </row>
    <row r="136" spans="1:2" x14ac:dyDescent="0.25">
      <c r="A136" s="94" t="s">
        <v>528</v>
      </c>
      <c r="B136" s="94" t="s">
        <v>529</v>
      </c>
    </row>
    <row r="137" spans="1:2" x14ac:dyDescent="0.25">
      <c r="A137" s="94" t="s">
        <v>0</v>
      </c>
      <c r="B137" s="94" t="s">
        <v>460</v>
      </c>
    </row>
    <row r="138" spans="1:2" x14ac:dyDescent="0.25">
      <c r="A138" s="94" t="s">
        <v>1</v>
      </c>
      <c r="B138" s="94" t="s">
        <v>460</v>
      </c>
    </row>
    <row r="139" spans="1:2" x14ac:dyDescent="0.25">
      <c r="A139" s="94" t="s">
        <v>2</v>
      </c>
      <c r="B139" s="94" t="s">
        <v>460</v>
      </c>
    </row>
    <row r="140" spans="1:2" x14ac:dyDescent="0.25">
      <c r="A140" s="94" t="s">
        <v>3</v>
      </c>
      <c r="B140" s="94" t="s">
        <v>460</v>
      </c>
    </row>
    <row r="141" spans="1:2" x14ac:dyDescent="0.25">
      <c r="A141" s="94" t="s">
        <v>4</v>
      </c>
      <c r="B141" s="94" t="s">
        <v>5</v>
      </c>
    </row>
    <row r="142" spans="1:2" x14ac:dyDescent="0.25">
      <c r="A142" s="94" t="s">
        <v>6</v>
      </c>
      <c r="B142" s="94" t="s">
        <v>254</v>
      </c>
    </row>
    <row r="143" spans="1:2" x14ac:dyDescent="0.25">
      <c r="A143" s="94" t="s">
        <v>7</v>
      </c>
      <c r="B143" s="94" t="s">
        <v>8</v>
      </c>
    </row>
    <row r="144" spans="1:2" x14ac:dyDescent="0.25">
      <c r="A144" s="94" t="s">
        <v>9</v>
      </c>
      <c r="B144" s="94" t="s">
        <v>10</v>
      </c>
    </row>
    <row r="145" spans="1:2" x14ac:dyDescent="0.25">
      <c r="A145" s="94" t="s">
        <v>328</v>
      </c>
      <c r="B145" s="94" t="s">
        <v>11</v>
      </c>
    </row>
    <row r="146" spans="1:2" x14ac:dyDescent="0.25">
      <c r="A146" s="94" t="s">
        <v>263</v>
      </c>
      <c r="B146" s="94" t="s">
        <v>573</v>
      </c>
    </row>
    <row r="147" spans="1:2" x14ac:dyDescent="0.25">
      <c r="A147" s="94" t="s">
        <v>269</v>
      </c>
      <c r="B147" s="94" t="s">
        <v>12</v>
      </c>
    </row>
    <row r="148" spans="1:2" x14ac:dyDescent="0.25">
      <c r="A148" s="94" t="s">
        <v>262</v>
      </c>
      <c r="B148" s="94" t="s">
        <v>13</v>
      </c>
    </row>
    <row r="149" spans="1:2" x14ac:dyDescent="0.25">
      <c r="A149" s="94" t="s">
        <v>329</v>
      </c>
      <c r="B149" s="94" t="s">
        <v>14</v>
      </c>
    </row>
    <row r="150" spans="1:2" x14ac:dyDescent="0.25">
      <c r="A150" s="94" t="s">
        <v>331</v>
      </c>
      <c r="B150" s="94" t="s">
        <v>336</v>
      </c>
    </row>
    <row r="151" spans="1:2" x14ac:dyDescent="0.25">
      <c r="A151" s="94" t="s">
        <v>255</v>
      </c>
      <c r="B151" s="94" t="s">
        <v>15</v>
      </c>
    </row>
    <row r="152" spans="1:2" x14ac:dyDescent="0.25">
      <c r="A152" s="94" t="s">
        <v>16</v>
      </c>
      <c r="B152" s="94" t="s">
        <v>237</v>
      </c>
    </row>
    <row r="153" spans="1:2" x14ac:dyDescent="0.25">
      <c r="A153" s="94" t="s">
        <v>17</v>
      </c>
      <c r="B153" s="94" t="s">
        <v>18</v>
      </c>
    </row>
    <row r="154" spans="1:2" x14ac:dyDescent="0.25">
      <c r="A154" s="94" t="s">
        <v>19</v>
      </c>
      <c r="B154" s="94" t="s">
        <v>20</v>
      </c>
    </row>
    <row r="155" spans="1:2" x14ac:dyDescent="0.25">
      <c r="A155" s="94" t="s">
        <v>271</v>
      </c>
      <c r="B155" s="94" t="s">
        <v>330</v>
      </c>
    </row>
    <row r="156" spans="1:2" x14ac:dyDescent="0.25">
      <c r="A156" s="94" t="s">
        <v>333</v>
      </c>
      <c r="B156" s="94" t="s">
        <v>21</v>
      </c>
    </row>
    <row r="157" spans="1:2" x14ac:dyDescent="0.25">
      <c r="A157" s="94" t="s">
        <v>22</v>
      </c>
      <c r="B157" s="94" t="s">
        <v>308</v>
      </c>
    </row>
    <row r="158" spans="1:2" x14ac:dyDescent="0.25">
      <c r="A158" s="94" t="s">
        <v>272</v>
      </c>
      <c r="B158" s="94" t="s">
        <v>338</v>
      </c>
    </row>
    <row r="159" spans="1:2" x14ac:dyDescent="0.25">
      <c r="A159" s="94" t="s">
        <v>273</v>
      </c>
      <c r="B159" s="94" t="s">
        <v>332</v>
      </c>
    </row>
    <row r="160" spans="1:2" x14ac:dyDescent="0.25">
      <c r="A160" s="94" t="s">
        <v>337</v>
      </c>
      <c r="B160" s="94" t="s">
        <v>335</v>
      </c>
    </row>
    <row r="161" spans="1:2" x14ac:dyDescent="0.25">
      <c r="A161" s="94" t="s">
        <v>270</v>
      </c>
      <c r="B161" s="94" t="s">
        <v>334</v>
      </c>
    </row>
    <row r="162" spans="1:2" x14ac:dyDescent="0.25">
      <c r="A162" s="94" t="s">
        <v>267</v>
      </c>
      <c r="B162" s="94" t="s">
        <v>23</v>
      </c>
    </row>
    <row r="163" spans="1:2" x14ac:dyDescent="0.25">
      <c r="A163" s="94" t="s">
        <v>266</v>
      </c>
      <c r="B163" s="94" t="s">
        <v>24</v>
      </c>
    </row>
    <row r="164" spans="1:2" x14ac:dyDescent="0.25">
      <c r="A164" s="94" t="s">
        <v>352</v>
      </c>
      <c r="B164" s="94" t="s">
        <v>506</v>
      </c>
    </row>
    <row r="165" spans="1:2" x14ac:dyDescent="0.25">
      <c r="A165" s="94" t="s">
        <v>265</v>
      </c>
      <c r="B165" s="94" t="s">
        <v>25</v>
      </c>
    </row>
    <row r="166" spans="1:2" x14ac:dyDescent="0.25">
      <c r="A166" s="94" t="s">
        <v>257</v>
      </c>
      <c r="B166" s="94" t="s">
        <v>26</v>
      </c>
    </row>
    <row r="167" spans="1:2" x14ac:dyDescent="0.25">
      <c r="A167" s="94" t="s">
        <v>364</v>
      </c>
      <c r="B167" s="94" t="s">
        <v>27</v>
      </c>
    </row>
    <row r="168" spans="1:2" x14ac:dyDescent="0.25">
      <c r="A168" s="94" t="s">
        <v>339</v>
      </c>
      <c r="B168" s="94" t="s">
        <v>325</v>
      </c>
    </row>
    <row r="169" spans="1:2" x14ac:dyDescent="0.25">
      <c r="A169" s="94" t="s">
        <v>341</v>
      </c>
      <c r="B169" s="94" t="s">
        <v>28</v>
      </c>
    </row>
    <row r="170" spans="1:2" x14ac:dyDescent="0.25">
      <c r="A170" s="94" t="s">
        <v>574</v>
      </c>
      <c r="B170" s="94" t="s">
        <v>575</v>
      </c>
    </row>
    <row r="171" spans="1:2" x14ac:dyDescent="0.25">
      <c r="A171" s="94" t="s">
        <v>30</v>
      </c>
      <c r="B171" s="94" t="s">
        <v>31</v>
      </c>
    </row>
    <row r="172" spans="1:2" x14ac:dyDescent="0.25">
      <c r="A172" s="94" t="s">
        <v>32</v>
      </c>
      <c r="B172" s="94" t="s">
        <v>256</v>
      </c>
    </row>
    <row r="173" spans="1:2" x14ac:dyDescent="0.25">
      <c r="A173" s="94" t="s">
        <v>33</v>
      </c>
      <c r="B173" s="94" t="s">
        <v>34</v>
      </c>
    </row>
    <row r="174" spans="1:2" x14ac:dyDescent="0.25">
      <c r="A174" s="94" t="s">
        <v>536</v>
      </c>
      <c r="B174" s="94" t="s">
        <v>29</v>
      </c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E195"/>
  <sheetViews>
    <sheetView topLeftCell="A176" workbookViewId="0">
      <selection activeCell="B195" sqref="B195"/>
    </sheetView>
  </sheetViews>
  <sheetFormatPr baseColWidth="10" defaultRowHeight="13.2" x14ac:dyDescent="0.25"/>
  <cols>
    <col min="1" max="1" width="26.6640625" customWidth="1"/>
    <col min="2" max="2" width="32.5546875" customWidth="1"/>
  </cols>
  <sheetData>
    <row r="1" spans="1:2" x14ac:dyDescent="0.25">
      <c r="A1" t="s">
        <v>293</v>
      </c>
      <c r="B1" t="s">
        <v>386</v>
      </c>
    </row>
    <row r="2" spans="1:2" x14ac:dyDescent="0.25">
      <c r="A2" t="s">
        <v>387</v>
      </c>
      <c r="B2" t="s">
        <v>388</v>
      </c>
    </row>
    <row r="3" spans="1:2" x14ac:dyDescent="0.25">
      <c r="A3" t="s">
        <v>389</v>
      </c>
      <c r="B3" t="s">
        <v>390</v>
      </c>
    </row>
    <row r="4" spans="1:2" x14ac:dyDescent="0.25">
      <c r="A4" t="s">
        <v>391</v>
      </c>
      <c r="B4" t="s">
        <v>392</v>
      </c>
    </row>
    <row r="5" spans="1:2" x14ac:dyDescent="0.25">
      <c r="A5" t="s">
        <v>393</v>
      </c>
      <c r="B5" t="s">
        <v>394</v>
      </c>
    </row>
    <row r="6" spans="1:2" x14ac:dyDescent="0.25">
      <c r="A6" t="s">
        <v>294</v>
      </c>
      <c r="B6" t="s">
        <v>295</v>
      </c>
    </row>
    <row r="7" spans="1:2" x14ac:dyDescent="0.25">
      <c r="A7" t="s">
        <v>174</v>
      </c>
      <c r="B7" t="s">
        <v>395</v>
      </c>
    </row>
    <row r="8" spans="1:2" x14ac:dyDescent="0.25">
      <c r="A8" t="s">
        <v>291</v>
      </c>
      <c r="B8" t="s">
        <v>306</v>
      </c>
    </row>
    <row r="9" spans="1:2" x14ac:dyDescent="0.25">
      <c r="A9" t="s">
        <v>287</v>
      </c>
      <c r="B9" t="s">
        <v>627</v>
      </c>
    </row>
    <row r="10" spans="1:2" x14ac:dyDescent="0.25">
      <c r="A10" t="s">
        <v>604</v>
      </c>
      <c r="B10" t="s">
        <v>628</v>
      </c>
    </row>
    <row r="11" spans="1:2" x14ac:dyDescent="0.25">
      <c r="A11" t="s">
        <v>361</v>
      </c>
      <c r="B11" t="s">
        <v>396</v>
      </c>
    </row>
    <row r="12" spans="1:2" x14ac:dyDescent="0.25">
      <c r="A12" t="s">
        <v>360</v>
      </c>
      <c r="B12" t="s">
        <v>543</v>
      </c>
    </row>
    <row r="13" spans="1:2" x14ac:dyDescent="0.25">
      <c r="A13" t="s">
        <v>362</v>
      </c>
      <c r="B13" t="s">
        <v>398</v>
      </c>
    </row>
    <row r="14" spans="1:2" x14ac:dyDescent="0.25">
      <c r="A14" t="s">
        <v>544</v>
      </c>
      <c r="B14" t="s">
        <v>545</v>
      </c>
    </row>
    <row r="15" spans="1:2" x14ac:dyDescent="0.25">
      <c r="A15" t="s">
        <v>541</v>
      </c>
      <c r="B15" t="s">
        <v>231</v>
      </c>
    </row>
    <row r="16" spans="1:2" x14ac:dyDescent="0.25">
      <c r="A16" t="s">
        <v>211</v>
      </c>
      <c r="B16" t="s">
        <v>240</v>
      </c>
    </row>
    <row r="17" spans="1:2" x14ac:dyDescent="0.25">
      <c r="A17" t="s">
        <v>298</v>
      </c>
      <c r="B17" t="s">
        <v>399</v>
      </c>
    </row>
    <row r="18" spans="1:2" x14ac:dyDescent="0.25">
      <c r="A18" t="s">
        <v>299</v>
      </c>
      <c r="B18" t="s">
        <v>400</v>
      </c>
    </row>
    <row r="19" spans="1:2" x14ac:dyDescent="0.25">
      <c r="A19" t="s">
        <v>300</v>
      </c>
      <c r="B19" t="s">
        <v>401</v>
      </c>
    </row>
    <row r="20" spans="1:2" x14ac:dyDescent="0.25">
      <c r="A20" t="s">
        <v>402</v>
      </c>
      <c r="B20" t="s">
        <v>403</v>
      </c>
    </row>
    <row r="21" spans="1:2" x14ac:dyDescent="0.25">
      <c r="A21" t="s">
        <v>301</v>
      </c>
      <c r="B21" t="s">
        <v>404</v>
      </c>
    </row>
    <row r="22" spans="1:2" x14ac:dyDescent="0.25">
      <c r="A22" t="s">
        <v>220</v>
      </c>
      <c r="B22" t="s">
        <v>302</v>
      </c>
    </row>
    <row r="23" spans="1:2" x14ac:dyDescent="0.25">
      <c r="A23" t="s">
        <v>405</v>
      </c>
      <c r="B23" t="s">
        <v>406</v>
      </c>
    </row>
    <row r="24" spans="1:2" x14ac:dyDescent="0.25">
      <c r="A24" t="s">
        <v>407</v>
      </c>
      <c r="B24" t="s">
        <v>408</v>
      </c>
    </row>
    <row r="25" spans="1:2" x14ac:dyDescent="0.25">
      <c r="A25" t="s">
        <v>409</v>
      </c>
      <c r="B25" t="s">
        <v>410</v>
      </c>
    </row>
    <row r="26" spans="1:2" x14ac:dyDescent="0.25">
      <c r="A26" t="s">
        <v>411</v>
      </c>
      <c r="B26" t="s">
        <v>412</v>
      </c>
    </row>
    <row r="27" spans="1:2" x14ac:dyDescent="0.25">
      <c r="A27" t="s">
        <v>546</v>
      </c>
      <c r="B27" t="s">
        <v>547</v>
      </c>
    </row>
    <row r="28" spans="1:2" x14ac:dyDescent="0.25">
      <c r="A28" t="s">
        <v>233</v>
      </c>
      <c r="B28" t="s">
        <v>234</v>
      </c>
    </row>
    <row r="29" spans="1:2" x14ac:dyDescent="0.25">
      <c r="A29" t="s">
        <v>383</v>
      </c>
      <c r="B29" t="s">
        <v>548</v>
      </c>
    </row>
    <row r="30" spans="1:2" x14ac:dyDescent="0.25">
      <c r="A30" t="s">
        <v>413</v>
      </c>
      <c r="B30" t="s">
        <v>416</v>
      </c>
    </row>
    <row r="31" spans="1:2" x14ac:dyDescent="0.25">
      <c r="A31" t="s">
        <v>414</v>
      </c>
      <c r="B31" t="s">
        <v>548</v>
      </c>
    </row>
    <row r="32" spans="1:2" x14ac:dyDescent="0.25">
      <c r="A32" t="s">
        <v>52</v>
      </c>
      <c r="B32" t="s">
        <v>303</v>
      </c>
    </row>
    <row r="33" spans="1:2" x14ac:dyDescent="0.25">
      <c r="A33" t="s">
        <v>531</v>
      </c>
      <c r="B33" t="s">
        <v>629</v>
      </c>
    </row>
    <row r="34" spans="1:2" x14ac:dyDescent="0.25">
      <c r="A34" t="s">
        <v>550</v>
      </c>
      <c r="B34" t="s">
        <v>629</v>
      </c>
    </row>
    <row r="35" spans="1:2" x14ac:dyDescent="0.25">
      <c r="A35" t="s">
        <v>552</v>
      </c>
      <c r="B35" t="s">
        <v>629</v>
      </c>
    </row>
    <row r="36" spans="1:2" x14ac:dyDescent="0.25">
      <c r="A36" t="s">
        <v>554</v>
      </c>
      <c r="B36" t="s">
        <v>629</v>
      </c>
    </row>
    <row r="37" spans="1:2" x14ac:dyDescent="0.25">
      <c r="A37" t="s">
        <v>532</v>
      </c>
      <c r="B37" t="s">
        <v>533</v>
      </c>
    </row>
    <row r="38" spans="1:2" x14ac:dyDescent="0.25">
      <c r="A38" t="s">
        <v>630</v>
      </c>
      <c r="B38" t="s">
        <v>631</v>
      </c>
    </row>
    <row r="39" spans="1:2" x14ac:dyDescent="0.25">
      <c r="A39" t="s">
        <v>415</v>
      </c>
      <c r="B39" t="s">
        <v>513</v>
      </c>
    </row>
    <row r="40" spans="1:2" x14ac:dyDescent="0.25">
      <c r="A40" t="s">
        <v>417</v>
      </c>
      <c r="B40" t="s">
        <v>534</v>
      </c>
    </row>
    <row r="41" spans="1:2" x14ac:dyDescent="0.25">
      <c r="A41" t="s">
        <v>350</v>
      </c>
      <c r="B41" t="s">
        <v>576</v>
      </c>
    </row>
    <row r="42" spans="1:2" x14ac:dyDescent="0.25">
      <c r="A42" t="s">
        <v>632</v>
      </c>
      <c r="B42" t="s">
        <v>633</v>
      </c>
    </row>
    <row r="43" spans="1:2" x14ac:dyDescent="0.25">
      <c r="A43" t="s">
        <v>634</v>
      </c>
      <c r="B43" t="s">
        <v>635</v>
      </c>
    </row>
    <row r="44" spans="1:2" x14ac:dyDescent="0.25">
      <c r="A44" t="s">
        <v>636</v>
      </c>
      <c r="B44" t="s">
        <v>637</v>
      </c>
    </row>
    <row r="45" spans="1:2" x14ac:dyDescent="0.25">
      <c r="A45" t="s">
        <v>530</v>
      </c>
      <c r="B45" t="s">
        <v>535</v>
      </c>
    </row>
    <row r="46" spans="1:2" x14ac:dyDescent="0.25">
      <c r="A46" t="s">
        <v>259</v>
      </c>
      <c r="B46" t="s">
        <v>304</v>
      </c>
    </row>
    <row r="47" spans="1:2" x14ac:dyDescent="0.25">
      <c r="A47" t="s">
        <v>235</v>
      </c>
      <c r="B47" t="s">
        <v>419</v>
      </c>
    </row>
    <row r="48" spans="1:2" x14ac:dyDescent="0.25">
      <c r="A48" t="s">
        <v>236</v>
      </c>
      <c r="B48" t="s">
        <v>326</v>
      </c>
    </row>
    <row r="49" spans="1:2" x14ac:dyDescent="0.25">
      <c r="A49" t="s">
        <v>238</v>
      </c>
      <c r="B49" t="s">
        <v>420</v>
      </c>
    </row>
    <row r="50" spans="1:2" x14ac:dyDescent="0.25">
      <c r="A50" t="s">
        <v>421</v>
      </c>
      <c r="B50" t="s">
        <v>422</v>
      </c>
    </row>
    <row r="51" spans="1:2" x14ac:dyDescent="0.25">
      <c r="A51" t="s">
        <v>424</v>
      </c>
      <c r="B51" t="s">
        <v>425</v>
      </c>
    </row>
    <row r="52" spans="1:2" x14ac:dyDescent="0.25">
      <c r="A52" t="s">
        <v>426</v>
      </c>
      <c r="B52" t="s">
        <v>253</v>
      </c>
    </row>
    <row r="53" spans="1:2" x14ac:dyDescent="0.25">
      <c r="A53" t="s">
        <v>427</v>
      </c>
      <c r="B53" t="s">
        <v>428</v>
      </c>
    </row>
    <row r="54" spans="1:2" x14ac:dyDescent="0.25">
      <c r="A54" t="s">
        <v>429</v>
      </c>
      <c r="B54" t="s">
        <v>430</v>
      </c>
    </row>
    <row r="55" spans="1:2" x14ac:dyDescent="0.25">
      <c r="A55" t="s">
        <v>53</v>
      </c>
      <c r="B55" t="s">
        <v>305</v>
      </c>
    </row>
    <row r="56" spans="1:2" x14ac:dyDescent="0.25">
      <c r="A56" t="s">
        <v>431</v>
      </c>
      <c r="B56" t="s">
        <v>432</v>
      </c>
    </row>
    <row r="57" spans="1:2" x14ac:dyDescent="0.25">
      <c r="A57" t="s">
        <v>433</v>
      </c>
      <c r="B57" t="s">
        <v>230</v>
      </c>
    </row>
    <row r="58" spans="1:2" x14ac:dyDescent="0.25">
      <c r="A58" t="s">
        <v>434</v>
      </c>
      <c r="B58" t="s">
        <v>435</v>
      </c>
    </row>
    <row r="59" spans="1:2" x14ac:dyDescent="0.25">
      <c r="A59" t="s">
        <v>436</v>
      </c>
      <c r="B59" t="s">
        <v>437</v>
      </c>
    </row>
    <row r="60" spans="1:2" x14ac:dyDescent="0.25">
      <c r="A60" t="s">
        <v>438</v>
      </c>
      <c r="B60" t="s">
        <v>577</v>
      </c>
    </row>
    <row r="61" spans="1:2" x14ac:dyDescent="0.25">
      <c r="A61" t="s">
        <v>210</v>
      </c>
      <c r="B61" t="s">
        <v>234</v>
      </c>
    </row>
    <row r="62" spans="1:2" x14ac:dyDescent="0.25">
      <c r="A62" t="s">
        <v>556</v>
      </c>
      <c r="B62" t="s">
        <v>557</v>
      </c>
    </row>
    <row r="63" spans="1:2" x14ac:dyDescent="0.25">
      <c r="A63" t="s">
        <v>440</v>
      </c>
      <c r="B63" t="s">
        <v>441</v>
      </c>
    </row>
    <row r="64" spans="1:2" x14ac:dyDescent="0.25">
      <c r="A64" t="s">
        <v>442</v>
      </c>
      <c r="B64" t="s">
        <v>327</v>
      </c>
    </row>
    <row r="65" spans="1:2" x14ac:dyDescent="0.25">
      <c r="A65" t="s">
        <v>443</v>
      </c>
      <c r="B65" t="s">
        <v>444</v>
      </c>
    </row>
    <row r="66" spans="1:2" x14ac:dyDescent="0.25">
      <c r="A66" t="s">
        <v>445</v>
      </c>
      <c r="B66" t="s">
        <v>446</v>
      </c>
    </row>
    <row r="67" spans="1:2" x14ac:dyDescent="0.25">
      <c r="A67" t="s">
        <v>447</v>
      </c>
      <c r="B67" t="s">
        <v>439</v>
      </c>
    </row>
    <row r="68" spans="1:2" x14ac:dyDescent="0.25">
      <c r="A68" t="s">
        <v>348</v>
      </c>
      <c r="B68" t="s">
        <v>448</v>
      </c>
    </row>
    <row r="69" spans="1:2" x14ac:dyDescent="0.25">
      <c r="A69" t="s">
        <v>638</v>
      </c>
      <c r="B69" t="s">
        <v>639</v>
      </c>
    </row>
    <row r="70" spans="1:2" x14ac:dyDescent="0.25">
      <c r="A70" t="s">
        <v>342</v>
      </c>
      <c r="B70" t="s">
        <v>640</v>
      </c>
    </row>
    <row r="71" spans="1:2" x14ac:dyDescent="0.25">
      <c r="A71" t="s">
        <v>605</v>
      </c>
      <c r="B71" t="s">
        <v>641</v>
      </c>
    </row>
    <row r="72" spans="1:2" x14ac:dyDescent="0.25">
      <c r="A72" t="s">
        <v>642</v>
      </c>
      <c r="B72" t="s">
        <v>643</v>
      </c>
    </row>
    <row r="73" spans="1:2" x14ac:dyDescent="0.25">
      <c r="A73" t="s">
        <v>241</v>
      </c>
      <c r="B73" t="s">
        <v>644</v>
      </c>
    </row>
    <row r="74" spans="1:2" x14ac:dyDescent="0.25">
      <c r="A74" t="s">
        <v>450</v>
      </c>
      <c r="B74" t="s">
        <v>320</v>
      </c>
    </row>
    <row r="75" spans="1:2" x14ac:dyDescent="0.25">
      <c r="A75" t="s">
        <v>451</v>
      </c>
      <c r="B75" t="s">
        <v>454</v>
      </c>
    </row>
    <row r="76" spans="1:2" x14ac:dyDescent="0.25">
      <c r="A76" t="s">
        <v>453</v>
      </c>
      <c r="B76" t="s">
        <v>456</v>
      </c>
    </row>
    <row r="77" spans="1:2" x14ac:dyDescent="0.25">
      <c r="A77" t="s">
        <v>455</v>
      </c>
      <c r="B77" t="s">
        <v>472</v>
      </c>
    </row>
    <row r="78" spans="1:2" x14ac:dyDescent="0.25">
      <c r="A78" t="s">
        <v>457</v>
      </c>
      <c r="B78" t="s">
        <v>452</v>
      </c>
    </row>
    <row r="79" spans="1:2" x14ac:dyDescent="0.25">
      <c r="A79" t="s">
        <v>347</v>
      </c>
      <c r="B79" t="s">
        <v>459</v>
      </c>
    </row>
    <row r="80" spans="1:2" x14ac:dyDescent="0.25">
      <c r="A80" t="s">
        <v>307</v>
      </c>
      <c r="B80" t="s">
        <v>313</v>
      </c>
    </row>
    <row r="81" spans="1:2" x14ac:dyDescent="0.25">
      <c r="A81" t="s">
        <v>309</v>
      </c>
      <c r="B81" t="s">
        <v>645</v>
      </c>
    </row>
    <row r="82" spans="1:2" x14ac:dyDescent="0.25">
      <c r="A82" t="s">
        <v>165</v>
      </c>
      <c r="B82" t="s">
        <v>646</v>
      </c>
    </row>
    <row r="83" spans="1:2" x14ac:dyDescent="0.25">
      <c r="A83" t="s">
        <v>186</v>
      </c>
      <c r="B83" t="s">
        <v>560</v>
      </c>
    </row>
    <row r="84" spans="1:2" x14ac:dyDescent="0.25">
      <c r="A84" t="s">
        <v>461</v>
      </c>
      <c r="B84" t="s">
        <v>462</v>
      </c>
    </row>
    <row r="85" spans="1:2" x14ac:dyDescent="0.25">
      <c r="A85" t="s">
        <v>463</v>
      </c>
      <c r="B85" t="s">
        <v>464</v>
      </c>
    </row>
    <row r="86" spans="1:2" x14ac:dyDescent="0.25">
      <c r="A86" t="s">
        <v>466</v>
      </c>
      <c r="B86" t="s">
        <v>469</v>
      </c>
    </row>
    <row r="87" spans="1:2" x14ac:dyDescent="0.25">
      <c r="A87" t="s">
        <v>468</v>
      </c>
      <c r="B87" t="s">
        <v>647</v>
      </c>
    </row>
    <row r="88" spans="1:2" x14ac:dyDescent="0.25">
      <c r="A88" t="s">
        <v>470</v>
      </c>
      <c r="B88" t="s">
        <v>648</v>
      </c>
    </row>
    <row r="89" spans="1:2" x14ac:dyDescent="0.25">
      <c r="A89" t="s">
        <v>471</v>
      </c>
      <c r="B89" t="s">
        <v>467</v>
      </c>
    </row>
    <row r="90" spans="1:2" x14ac:dyDescent="0.25">
      <c r="A90" t="s">
        <v>473</v>
      </c>
      <c r="B90" t="s">
        <v>474</v>
      </c>
    </row>
    <row r="91" spans="1:2" x14ac:dyDescent="0.25">
      <c r="A91" t="s">
        <v>196</v>
      </c>
      <c r="B91" t="s">
        <v>561</v>
      </c>
    </row>
    <row r="92" spans="1:2" x14ac:dyDescent="0.25">
      <c r="A92" t="s">
        <v>243</v>
      </c>
      <c r="B92" t="s">
        <v>460</v>
      </c>
    </row>
    <row r="93" spans="1:2" x14ac:dyDescent="0.25">
      <c r="A93" t="s">
        <v>244</v>
      </c>
      <c r="B93" t="s">
        <v>460</v>
      </c>
    </row>
    <row r="94" spans="1:2" x14ac:dyDescent="0.25">
      <c r="A94" t="s">
        <v>245</v>
      </c>
      <c r="B94" t="s">
        <v>460</v>
      </c>
    </row>
    <row r="95" spans="1:2" x14ac:dyDescent="0.25">
      <c r="A95" t="s">
        <v>246</v>
      </c>
      <c r="B95" t="s">
        <v>475</v>
      </c>
    </row>
    <row r="96" spans="1:2" x14ac:dyDescent="0.25">
      <c r="A96" t="s">
        <v>476</v>
      </c>
      <c r="B96" t="s">
        <v>477</v>
      </c>
    </row>
    <row r="97" spans="1:2" x14ac:dyDescent="0.25">
      <c r="A97" t="s">
        <v>478</v>
      </c>
      <c r="B97" t="s">
        <v>479</v>
      </c>
    </row>
    <row r="98" spans="1:2" x14ac:dyDescent="0.25">
      <c r="A98" t="s">
        <v>480</v>
      </c>
      <c r="B98" t="s">
        <v>481</v>
      </c>
    </row>
    <row r="99" spans="1:2" x14ac:dyDescent="0.25">
      <c r="A99" t="s">
        <v>482</v>
      </c>
      <c r="B99" t="s">
        <v>483</v>
      </c>
    </row>
    <row r="100" spans="1:2" x14ac:dyDescent="0.25">
      <c r="A100" t="s">
        <v>484</v>
      </c>
      <c r="B100" t="s">
        <v>485</v>
      </c>
    </row>
    <row r="101" spans="1:2" x14ac:dyDescent="0.25">
      <c r="A101" t="s">
        <v>486</v>
      </c>
      <c r="B101" t="s">
        <v>487</v>
      </c>
    </row>
    <row r="102" spans="1:2" x14ac:dyDescent="0.25">
      <c r="A102" t="s">
        <v>488</v>
      </c>
      <c r="B102" t="s">
        <v>489</v>
      </c>
    </row>
    <row r="103" spans="1:2" x14ac:dyDescent="0.25">
      <c r="A103" t="s">
        <v>490</v>
      </c>
      <c r="B103" t="s">
        <v>311</v>
      </c>
    </row>
    <row r="104" spans="1:2" x14ac:dyDescent="0.25">
      <c r="A104" t="s">
        <v>42</v>
      </c>
      <c r="B104" t="s">
        <v>578</v>
      </c>
    </row>
    <row r="105" spans="1:2" x14ac:dyDescent="0.25">
      <c r="A105" t="s">
        <v>312</v>
      </c>
      <c r="B105" t="s">
        <v>491</v>
      </c>
    </row>
    <row r="106" spans="1:2" x14ac:dyDescent="0.25">
      <c r="A106" t="s">
        <v>268</v>
      </c>
      <c r="B106" t="s">
        <v>492</v>
      </c>
    </row>
    <row r="107" spans="1:2" x14ac:dyDescent="0.25">
      <c r="A107" t="s">
        <v>248</v>
      </c>
      <c r="B107" t="s">
        <v>493</v>
      </c>
    </row>
    <row r="108" spans="1:2" x14ac:dyDescent="0.25">
      <c r="A108" t="s">
        <v>249</v>
      </c>
      <c r="B108" t="s">
        <v>494</v>
      </c>
    </row>
    <row r="109" spans="1:2" x14ac:dyDescent="0.25">
      <c r="A109" t="s">
        <v>562</v>
      </c>
      <c r="B109" t="s">
        <v>563</v>
      </c>
    </row>
    <row r="110" spans="1:2" x14ac:dyDescent="0.25">
      <c r="A110" t="s">
        <v>215</v>
      </c>
      <c r="B110" t="s">
        <v>495</v>
      </c>
    </row>
    <row r="111" spans="1:2" x14ac:dyDescent="0.25">
      <c r="A111" t="s">
        <v>496</v>
      </c>
      <c r="B111" t="s">
        <v>497</v>
      </c>
    </row>
    <row r="112" spans="1:2" x14ac:dyDescent="0.25">
      <c r="A112" t="s">
        <v>498</v>
      </c>
      <c r="B112" t="s">
        <v>247</v>
      </c>
    </row>
    <row r="113" spans="1:2" x14ac:dyDescent="0.25">
      <c r="A113" t="s">
        <v>499</v>
      </c>
      <c r="B113" t="s">
        <v>500</v>
      </c>
    </row>
    <row r="114" spans="1:2" x14ac:dyDescent="0.25">
      <c r="A114" t="s">
        <v>501</v>
      </c>
      <c r="B114" t="s">
        <v>502</v>
      </c>
    </row>
    <row r="115" spans="1:2" x14ac:dyDescent="0.25">
      <c r="A115" t="s">
        <v>353</v>
      </c>
      <c r="B115" t="s">
        <v>418</v>
      </c>
    </row>
    <row r="116" spans="1:2" x14ac:dyDescent="0.25">
      <c r="A116" t="s">
        <v>351</v>
      </c>
      <c r="B116" t="s">
        <v>503</v>
      </c>
    </row>
    <row r="117" spans="1:2" x14ac:dyDescent="0.25">
      <c r="A117" t="s">
        <v>505</v>
      </c>
      <c r="B117" t="s">
        <v>504</v>
      </c>
    </row>
    <row r="118" spans="1:2" x14ac:dyDescent="0.25">
      <c r="A118" t="s">
        <v>250</v>
      </c>
      <c r="B118" t="s">
        <v>507</v>
      </c>
    </row>
    <row r="119" spans="1:2" x14ac:dyDescent="0.25">
      <c r="A119" t="s">
        <v>508</v>
      </c>
      <c r="B119" t="s">
        <v>509</v>
      </c>
    </row>
    <row r="120" spans="1:2" x14ac:dyDescent="0.25">
      <c r="A120" t="s">
        <v>290</v>
      </c>
      <c r="B120" t="s">
        <v>296</v>
      </c>
    </row>
    <row r="121" spans="1:2" x14ac:dyDescent="0.25">
      <c r="A121" t="s">
        <v>625</v>
      </c>
      <c r="B121" t="s">
        <v>649</v>
      </c>
    </row>
    <row r="122" spans="1:2" x14ac:dyDescent="0.25">
      <c r="A122" t="s">
        <v>286</v>
      </c>
      <c r="B122" t="s">
        <v>314</v>
      </c>
    </row>
    <row r="123" spans="1:2" x14ac:dyDescent="0.25">
      <c r="A123" t="s">
        <v>542</v>
      </c>
      <c r="B123" t="s">
        <v>465</v>
      </c>
    </row>
    <row r="124" spans="1:2" x14ac:dyDescent="0.25">
      <c r="A124" t="s">
        <v>564</v>
      </c>
      <c r="B124" t="s">
        <v>565</v>
      </c>
    </row>
    <row r="125" spans="1:2" x14ac:dyDescent="0.25">
      <c r="A125" t="s">
        <v>510</v>
      </c>
      <c r="B125" t="s">
        <v>515</v>
      </c>
    </row>
    <row r="126" spans="1:2" x14ac:dyDescent="0.25">
      <c r="A126" t="s">
        <v>292</v>
      </c>
      <c r="B126" t="s">
        <v>315</v>
      </c>
    </row>
    <row r="127" spans="1:2" x14ac:dyDescent="0.25">
      <c r="A127" t="s">
        <v>650</v>
      </c>
      <c r="B127" t="s">
        <v>651</v>
      </c>
    </row>
    <row r="128" spans="1:2" x14ac:dyDescent="0.25">
      <c r="A128" t="s">
        <v>316</v>
      </c>
      <c r="B128" t="s">
        <v>652</v>
      </c>
    </row>
    <row r="129" spans="1:2" x14ac:dyDescent="0.25">
      <c r="A129" t="s">
        <v>318</v>
      </c>
      <c r="B129" t="s">
        <v>511</v>
      </c>
    </row>
    <row r="130" spans="1:2" x14ac:dyDescent="0.25">
      <c r="A130" t="s">
        <v>365</v>
      </c>
      <c r="B130" t="s">
        <v>512</v>
      </c>
    </row>
    <row r="131" spans="1:2" x14ac:dyDescent="0.25">
      <c r="A131" t="s">
        <v>319</v>
      </c>
      <c r="B131" t="s">
        <v>340</v>
      </c>
    </row>
    <row r="132" spans="1:2" x14ac:dyDescent="0.25">
      <c r="A132" t="s">
        <v>321</v>
      </c>
      <c r="B132" t="s">
        <v>322</v>
      </c>
    </row>
    <row r="133" spans="1:2" x14ac:dyDescent="0.25">
      <c r="A133" t="s">
        <v>251</v>
      </c>
      <c r="B133" t="s">
        <v>460</v>
      </c>
    </row>
    <row r="134" spans="1:2" x14ac:dyDescent="0.25">
      <c r="A134" t="s">
        <v>363</v>
      </c>
      <c r="B134" t="s">
        <v>323</v>
      </c>
    </row>
    <row r="135" spans="1:2" x14ac:dyDescent="0.25">
      <c r="A135" t="s">
        <v>377</v>
      </c>
      <c r="B135" t="s">
        <v>514</v>
      </c>
    </row>
    <row r="136" spans="1:2" x14ac:dyDescent="0.25">
      <c r="A136" t="s">
        <v>371</v>
      </c>
      <c r="B136" t="s">
        <v>579</v>
      </c>
    </row>
    <row r="137" spans="1:2" x14ac:dyDescent="0.25">
      <c r="A137" t="s">
        <v>566</v>
      </c>
      <c r="B137" t="s">
        <v>397</v>
      </c>
    </row>
    <row r="138" spans="1:2" x14ac:dyDescent="0.25">
      <c r="A138" t="s">
        <v>567</v>
      </c>
      <c r="B138" t="s">
        <v>568</v>
      </c>
    </row>
    <row r="139" spans="1:2" x14ac:dyDescent="0.25">
      <c r="A139" t="s">
        <v>264</v>
      </c>
      <c r="B139" t="s">
        <v>324</v>
      </c>
    </row>
    <row r="140" spans="1:2" x14ac:dyDescent="0.25">
      <c r="A140" t="s">
        <v>569</v>
      </c>
      <c r="B140" t="s">
        <v>570</v>
      </c>
    </row>
    <row r="141" spans="1:2" x14ac:dyDescent="0.25">
      <c r="A141" t="s">
        <v>516</v>
      </c>
      <c r="B141" t="s">
        <v>517</v>
      </c>
    </row>
    <row r="142" spans="1:2" x14ac:dyDescent="0.25">
      <c r="A142" t="s">
        <v>518</v>
      </c>
      <c r="B142" t="s">
        <v>252</v>
      </c>
    </row>
    <row r="143" spans="1:2" x14ac:dyDescent="0.25">
      <c r="A143" t="s">
        <v>519</v>
      </c>
      <c r="B143" t="s">
        <v>520</v>
      </c>
    </row>
    <row r="144" spans="1:2" x14ac:dyDescent="0.25">
      <c r="A144" t="s">
        <v>521</v>
      </c>
      <c r="B144" t="s">
        <v>522</v>
      </c>
    </row>
    <row r="145" spans="1:2" x14ac:dyDescent="0.25">
      <c r="A145" t="s">
        <v>571</v>
      </c>
      <c r="B145" t="s">
        <v>572</v>
      </c>
    </row>
    <row r="146" spans="1:2" x14ac:dyDescent="0.25">
      <c r="A146" t="s">
        <v>523</v>
      </c>
      <c r="B146" t="s">
        <v>524</v>
      </c>
    </row>
    <row r="147" spans="1:2" x14ac:dyDescent="0.25">
      <c r="A147" t="s">
        <v>525</v>
      </c>
      <c r="B147" t="s">
        <v>239</v>
      </c>
    </row>
    <row r="148" spans="1:2" x14ac:dyDescent="0.25">
      <c r="A148" t="s">
        <v>526</v>
      </c>
      <c r="B148" t="s">
        <v>527</v>
      </c>
    </row>
    <row r="149" spans="1:2" x14ac:dyDescent="0.25">
      <c r="A149" t="s">
        <v>528</v>
      </c>
      <c r="B149" t="s">
        <v>529</v>
      </c>
    </row>
    <row r="150" spans="1:2" x14ac:dyDescent="0.25">
      <c r="A150" t="s">
        <v>0</v>
      </c>
      <c r="B150" t="s">
        <v>460</v>
      </c>
    </row>
    <row r="151" spans="1:2" x14ac:dyDescent="0.25">
      <c r="A151" t="s">
        <v>1</v>
      </c>
      <c r="B151" t="s">
        <v>460</v>
      </c>
    </row>
    <row r="152" spans="1:2" x14ac:dyDescent="0.25">
      <c r="A152" t="s">
        <v>2</v>
      </c>
      <c r="B152" t="s">
        <v>460</v>
      </c>
    </row>
    <row r="153" spans="1:2" x14ac:dyDescent="0.25">
      <c r="A153" t="s">
        <v>3</v>
      </c>
      <c r="B153" t="s">
        <v>460</v>
      </c>
    </row>
    <row r="154" spans="1:2" x14ac:dyDescent="0.25">
      <c r="A154" t="s">
        <v>4</v>
      </c>
      <c r="B154" t="s">
        <v>5</v>
      </c>
    </row>
    <row r="155" spans="1:2" x14ac:dyDescent="0.25">
      <c r="A155" t="s">
        <v>6</v>
      </c>
      <c r="B155" t="s">
        <v>254</v>
      </c>
    </row>
    <row r="156" spans="1:2" x14ac:dyDescent="0.25">
      <c r="A156" t="s">
        <v>7</v>
      </c>
      <c r="B156" t="s">
        <v>8</v>
      </c>
    </row>
    <row r="157" spans="1:2" x14ac:dyDescent="0.25">
      <c r="A157" t="s">
        <v>9</v>
      </c>
      <c r="B157" t="s">
        <v>10</v>
      </c>
    </row>
    <row r="158" spans="1:2" x14ac:dyDescent="0.25">
      <c r="A158" t="s">
        <v>328</v>
      </c>
      <c r="B158" t="s">
        <v>11</v>
      </c>
    </row>
    <row r="159" spans="1:2" x14ac:dyDescent="0.25">
      <c r="A159" t="s">
        <v>263</v>
      </c>
      <c r="B159" t="s">
        <v>573</v>
      </c>
    </row>
    <row r="160" spans="1:2" x14ac:dyDescent="0.25">
      <c r="A160" t="s">
        <v>269</v>
      </c>
      <c r="B160" t="s">
        <v>12</v>
      </c>
    </row>
    <row r="161" spans="1:2" x14ac:dyDescent="0.25">
      <c r="A161" t="s">
        <v>262</v>
      </c>
      <c r="B161" t="s">
        <v>13</v>
      </c>
    </row>
    <row r="162" spans="1:2" x14ac:dyDescent="0.25">
      <c r="A162" t="s">
        <v>329</v>
      </c>
      <c r="B162" t="s">
        <v>14</v>
      </c>
    </row>
    <row r="163" spans="1:2" x14ac:dyDescent="0.25">
      <c r="A163" t="s">
        <v>331</v>
      </c>
      <c r="B163" t="s">
        <v>336</v>
      </c>
    </row>
    <row r="164" spans="1:2" x14ac:dyDescent="0.25">
      <c r="A164" t="s">
        <v>255</v>
      </c>
      <c r="B164" t="s">
        <v>15</v>
      </c>
    </row>
    <row r="165" spans="1:2" x14ac:dyDescent="0.25">
      <c r="A165" t="s">
        <v>16</v>
      </c>
      <c r="B165" t="s">
        <v>237</v>
      </c>
    </row>
    <row r="166" spans="1:2" x14ac:dyDescent="0.25">
      <c r="A166" t="s">
        <v>17</v>
      </c>
      <c r="B166" t="s">
        <v>18</v>
      </c>
    </row>
    <row r="167" spans="1:2" x14ac:dyDescent="0.25">
      <c r="A167" t="s">
        <v>19</v>
      </c>
      <c r="B167" t="s">
        <v>20</v>
      </c>
    </row>
    <row r="168" spans="1:2" x14ac:dyDescent="0.25">
      <c r="A168" t="s">
        <v>271</v>
      </c>
      <c r="B168" t="s">
        <v>330</v>
      </c>
    </row>
    <row r="169" spans="1:2" x14ac:dyDescent="0.25">
      <c r="A169" t="s">
        <v>333</v>
      </c>
      <c r="B169" t="s">
        <v>21</v>
      </c>
    </row>
    <row r="170" spans="1:2" x14ac:dyDescent="0.25">
      <c r="A170" t="s">
        <v>22</v>
      </c>
      <c r="B170" t="s">
        <v>308</v>
      </c>
    </row>
    <row r="171" spans="1:2" x14ac:dyDescent="0.25">
      <c r="A171" t="s">
        <v>272</v>
      </c>
      <c r="B171" t="s">
        <v>338</v>
      </c>
    </row>
    <row r="172" spans="1:2" x14ac:dyDescent="0.25">
      <c r="A172" t="s">
        <v>273</v>
      </c>
      <c r="B172" t="s">
        <v>332</v>
      </c>
    </row>
    <row r="173" spans="1:2" x14ac:dyDescent="0.25">
      <c r="A173" t="s">
        <v>337</v>
      </c>
      <c r="B173" t="s">
        <v>335</v>
      </c>
    </row>
    <row r="174" spans="1:2" x14ac:dyDescent="0.25">
      <c r="A174" t="s">
        <v>270</v>
      </c>
      <c r="B174" t="s">
        <v>334</v>
      </c>
    </row>
    <row r="175" spans="1:2" x14ac:dyDescent="0.25">
      <c r="A175" t="s">
        <v>267</v>
      </c>
      <c r="B175" t="s">
        <v>23</v>
      </c>
    </row>
    <row r="176" spans="1:2" x14ac:dyDescent="0.25">
      <c r="A176" t="s">
        <v>266</v>
      </c>
      <c r="B176" t="s">
        <v>24</v>
      </c>
    </row>
    <row r="177" spans="1:2" x14ac:dyDescent="0.25">
      <c r="A177" t="s">
        <v>352</v>
      </c>
      <c r="B177" t="s">
        <v>506</v>
      </c>
    </row>
    <row r="178" spans="1:2" x14ac:dyDescent="0.25">
      <c r="A178" t="s">
        <v>265</v>
      </c>
      <c r="B178" t="s">
        <v>25</v>
      </c>
    </row>
    <row r="179" spans="1:2" x14ac:dyDescent="0.25">
      <c r="A179" t="s">
        <v>257</v>
      </c>
      <c r="B179" t="s">
        <v>26</v>
      </c>
    </row>
    <row r="180" spans="1:2" x14ac:dyDescent="0.25">
      <c r="A180" t="s">
        <v>364</v>
      </c>
      <c r="B180" t="s">
        <v>27</v>
      </c>
    </row>
    <row r="181" spans="1:2" x14ac:dyDescent="0.25">
      <c r="A181" t="s">
        <v>339</v>
      </c>
      <c r="B181" t="s">
        <v>325</v>
      </c>
    </row>
    <row r="182" spans="1:2" x14ac:dyDescent="0.25">
      <c r="A182" t="s">
        <v>341</v>
      </c>
      <c r="B182" t="s">
        <v>28</v>
      </c>
    </row>
    <row r="183" spans="1:2" x14ac:dyDescent="0.25">
      <c r="A183" t="s">
        <v>574</v>
      </c>
      <c r="B183" t="s">
        <v>575</v>
      </c>
    </row>
    <row r="184" spans="1:2" x14ac:dyDescent="0.25">
      <c r="A184" t="s">
        <v>30</v>
      </c>
      <c r="B184" t="s">
        <v>31</v>
      </c>
    </row>
    <row r="185" spans="1:2" x14ac:dyDescent="0.25">
      <c r="A185" t="s">
        <v>32</v>
      </c>
      <c r="B185" t="s">
        <v>256</v>
      </c>
    </row>
    <row r="186" spans="1:2" x14ac:dyDescent="0.25">
      <c r="A186" t="s">
        <v>33</v>
      </c>
      <c r="B186" t="s">
        <v>34</v>
      </c>
    </row>
    <row r="187" spans="1:2" x14ac:dyDescent="0.25">
      <c r="A187" t="s">
        <v>536</v>
      </c>
      <c r="B187" t="s">
        <v>29</v>
      </c>
    </row>
    <row r="192" spans="1:2" x14ac:dyDescent="0.25">
      <c r="A192" t="s">
        <v>653</v>
      </c>
      <c r="B192" s="124">
        <v>45292</v>
      </c>
    </row>
    <row r="193" spans="1:5" x14ac:dyDescent="0.25">
      <c r="A193" t="s">
        <v>654</v>
      </c>
      <c r="B193" s="192">
        <v>45473</v>
      </c>
      <c r="E193" s="124"/>
    </row>
    <row r="194" spans="1:5" x14ac:dyDescent="0.25">
      <c r="A194" t="s">
        <v>655</v>
      </c>
      <c r="B194" s="124">
        <v>45149</v>
      </c>
    </row>
    <row r="195" spans="1:5" x14ac:dyDescent="0.25">
      <c r="A195" t="s">
        <v>656</v>
      </c>
      <c r="B195" s="129" t="s">
        <v>971</v>
      </c>
    </row>
  </sheetData>
  <customSheetViews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3.2" x14ac:dyDescent="0.25"/>
  <cols>
    <col min="1" max="1" width="5.88671875" customWidth="1"/>
    <col min="2" max="2" width="8.44140625" customWidth="1"/>
    <col min="3" max="3" width="7" customWidth="1"/>
    <col min="4" max="4" width="5" customWidth="1"/>
    <col min="5" max="5" width="17.6640625" customWidth="1"/>
    <col min="6" max="6" width="21.88671875" customWidth="1"/>
    <col min="7" max="7" width="9.44140625" customWidth="1"/>
    <col min="8" max="8" width="9.5546875" customWidth="1"/>
    <col min="9" max="9" width="5.33203125" customWidth="1"/>
    <col min="10" max="10" width="17.33203125" customWidth="1"/>
    <col min="11" max="11" width="8" customWidth="1"/>
    <col min="12" max="12" width="14.5546875" customWidth="1"/>
    <col min="13" max="13" width="8" customWidth="1"/>
    <col min="14" max="14" width="17.5546875" customWidth="1"/>
    <col min="15" max="15" width="13.88671875" customWidth="1"/>
    <col min="16" max="16" width="15.5546875" customWidth="1"/>
    <col min="17" max="17" width="16.33203125" customWidth="1"/>
    <col min="18" max="18" width="21.88671875" customWidth="1"/>
    <col min="19" max="19" width="5.33203125" customWidth="1"/>
    <col min="20" max="20" width="22.44140625" customWidth="1"/>
    <col min="21" max="26" width="5.44140625" customWidth="1"/>
    <col min="27" max="27" width="5.6640625" customWidth="1"/>
    <col min="28" max="28" width="14.88671875" customWidth="1"/>
    <col min="29" max="29" width="6.33203125" customWidth="1"/>
    <col min="30" max="32" width="6.6640625" customWidth="1"/>
    <col min="33" max="33" width="5.33203125" customWidth="1"/>
    <col min="35" max="35" width="15.109375" customWidth="1"/>
  </cols>
  <sheetData>
    <row r="1" spans="1:55" s="4" customFormat="1" ht="51.75" customHeight="1" x14ac:dyDescent="0.25">
      <c r="A1" s="39" t="s">
        <v>97</v>
      </c>
      <c r="B1" s="48" t="s">
        <v>164</v>
      </c>
      <c r="C1" s="48" t="s">
        <v>162</v>
      </c>
      <c r="D1" s="49" t="s">
        <v>92</v>
      </c>
      <c r="E1" s="40" t="s">
        <v>89</v>
      </c>
      <c r="F1" s="40" t="s">
        <v>166</v>
      </c>
      <c r="G1" s="41" t="s">
        <v>52</v>
      </c>
      <c r="H1" s="41" t="s">
        <v>53</v>
      </c>
      <c r="I1" s="42" t="s">
        <v>51</v>
      </c>
      <c r="J1" s="40" t="s">
        <v>93</v>
      </c>
      <c r="K1" s="43" t="s">
        <v>39</v>
      </c>
      <c r="L1" s="44" t="s">
        <v>40</v>
      </c>
      <c r="M1" s="44" t="s">
        <v>48</v>
      </c>
      <c r="N1" s="44" t="s">
        <v>46</v>
      </c>
      <c r="O1" s="44" t="s">
        <v>98</v>
      </c>
      <c r="P1" s="44" t="s">
        <v>49</v>
      </c>
      <c r="Q1" s="39" t="s">
        <v>41</v>
      </c>
      <c r="R1" s="40" t="s">
        <v>50</v>
      </c>
      <c r="S1" s="45" t="s">
        <v>165</v>
      </c>
      <c r="T1" s="45" t="s">
        <v>75</v>
      </c>
      <c r="U1" s="46" t="s">
        <v>72</v>
      </c>
      <c r="V1" s="24" t="s">
        <v>74</v>
      </c>
      <c r="W1" s="24" t="s">
        <v>73</v>
      </c>
      <c r="X1" s="24" t="s">
        <v>94</v>
      </c>
      <c r="Y1" s="24" t="s">
        <v>95</v>
      </c>
      <c r="Z1" s="24" t="s">
        <v>177</v>
      </c>
      <c r="AA1" s="24" t="s">
        <v>142</v>
      </c>
      <c r="AB1" s="45" t="s">
        <v>96</v>
      </c>
      <c r="AC1" s="40" t="s">
        <v>110</v>
      </c>
      <c r="AD1" s="40" t="s">
        <v>174</v>
      </c>
      <c r="AE1" s="40" t="s">
        <v>175</v>
      </c>
      <c r="AF1" s="40" t="s">
        <v>163</v>
      </c>
      <c r="AG1" s="40" t="s">
        <v>176</v>
      </c>
      <c r="AH1" s="40" t="s">
        <v>149</v>
      </c>
      <c r="AI1" s="40" t="s">
        <v>161</v>
      </c>
      <c r="AJ1" s="40" t="s">
        <v>152</v>
      </c>
      <c r="AK1" s="47" t="s">
        <v>111</v>
      </c>
      <c r="AL1" s="47" t="s">
        <v>102</v>
      </c>
      <c r="AM1" s="47" t="s">
        <v>103</v>
      </c>
      <c r="AN1" s="24" t="s">
        <v>168</v>
      </c>
      <c r="AO1" s="47" t="s">
        <v>111</v>
      </c>
      <c r="AP1" s="47" t="s">
        <v>102</v>
      </c>
      <c r="AQ1" s="47" t="s">
        <v>103</v>
      </c>
      <c r="AR1" s="24" t="s">
        <v>169</v>
      </c>
      <c r="AS1" s="47" t="s">
        <v>111</v>
      </c>
      <c r="AT1" s="47" t="s">
        <v>102</v>
      </c>
      <c r="AU1" s="47" t="s">
        <v>103</v>
      </c>
      <c r="AV1" s="24" t="s">
        <v>154</v>
      </c>
      <c r="AW1" s="47" t="s">
        <v>111</v>
      </c>
      <c r="AX1" s="47" t="s">
        <v>102</v>
      </c>
      <c r="AY1" s="47" t="s">
        <v>103</v>
      </c>
      <c r="AZ1" s="40" t="s">
        <v>153</v>
      </c>
      <c r="BA1" s="47" t="s">
        <v>111</v>
      </c>
      <c r="BB1" s="47" t="s">
        <v>102</v>
      </c>
      <c r="BC1" s="47" t="s">
        <v>103</v>
      </c>
    </row>
    <row r="2" spans="1:55" s="18" customFormat="1" ht="52.8" x14ac:dyDescent="0.25">
      <c r="A2" s="18">
        <f>DokuBogen!AE1</f>
        <v>0</v>
      </c>
      <c r="B2" s="19">
        <f>DokuBogen!AC4</f>
        <v>0</v>
      </c>
      <c r="C2" s="50">
        <f>DokuBogen!AB47</f>
        <v>0</v>
      </c>
      <c r="D2" s="18" t="e">
        <f>#REF!</f>
        <v>#REF!</v>
      </c>
      <c r="E2" s="20">
        <f>'Anmeldeformular2024-1'!I10</f>
        <v>0</v>
      </c>
      <c r="F2" s="20">
        <f>'Anmeldeformular2024-1'!I31</f>
        <v>0</v>
      </c>
      <c r="G2" s="21" t="e">
        <f>'Anmeldeformular2024-1'!#REF!</f>
        <v>#REF!</v>
      </c>
      <c r="H2" s="21" t="e">
        <f>'Anmeldeformular2024-1'!#REF!</f>
        <v>#REF!</v>
      </c>
      <c r="I2" s="21" t="e">
        <f>#REF!</f>
        <v>#REF!</v>
      </c>
      <c r="J2" s="20" t="e">
        <f>'Anmeldeformular2024-1'!#REF!</f>
        <v>#REF!</v>
      </c>
      <c r="K2" s="20" t="e">
        <f>'Anmeldeformular2024-1'!#REF!</f>
        <v>#REF!</v>
      </c>
      <c r="L2" s="20" t="e">
        <f>'Anmeldeformular2024-1'!#REF!</f>
        <v>#REF!</v>
      </c>
      <c r="M2" s="20" t="e">
        <f>'Anmeldeformular2024-1'!#REF!</f>
        <v>#REF!</v>
      </c>
      <c r="N2" s="20" t="e">
        <f>'Anmeldeformular2024-1'!#REF!</f>
        <v>#REF!</v>
      </c>
      <c r="O2" s="20" t="e">
        <f>'Anmeldeformular2024-1'!#REF!</f>
        <v>#REF!</v>
      </c>
      <c r="P2" s="22" t="e">
        <f>'Anmeldeformular2024-1'!#REF!</f>
        <v>#REF!</v>
      </c>
      <c r="Q2" s="20" t="e">
        <f>'Anmeldeformular2024-1'!#REF!</f>
        <v>#REF!</v>
      </c>
      <c r="R2" s="20">
        <f>'Anmeldeformular2024-1'!I29</f>
        <v>0</v>
      </c>
      <c r="S2" s="23" t="e">
        <f>#REF!</f>
        <v>#REF!</v>
      </c>
      <c r="T2" s="20" t="e">
        <f>#REF!</f>
        <v>#REF!</v>
      </c>
      <c r="U2" s="51" t="str">
        <f>'Anmeldeformular2024-1'!B52</f>
        <v>davon nicht-binär</v>
      </c>
      <c r="V2" s="51">
        <f>'Anmeldeformular2024-1'!H52</f>
        <v>0</v>
      </c>
      <c r="W2" s="51">
        <f>'Anmeldeformular2024-1'!H53</f>
        <v>0</v>
      </c>
      <c r="X2" s="52">
        <f>'Anmeldeformular2024-1'!X49</f>
        <v>0</v>
      </c>
      <c r="Y2" s="51">
        <f>'Anmeldeformular2024-1'!X50</f>
        <v>0</v>
      </c>
      <c r="Z2" s="51">
        <f>'Anmeldeformular2024-1'!X51</f>
        <v>0</v>
      </c>
      <c r="AA2" s="51">
        <f>'Anmeldeformular2024-1'!H54</f>
        <v>0</v>
      </c>
      <c r="AB2" s="20" t="e">
        <f>#REF!</f>
        <v>#REF!</v>
      </c>
      <c r="AC2" s="51" t="e">
        <f>#REF!</f>
        <v>#REF!</v>
      </c>
      <c r="AD2" s="54" t="e">
        <f>#REF!</f>
        <v>#REF!</v>
      </c>
      <c r="AE2" s="54" t="e">
        <f>#REF!</f>
        <v>#REF!</v>
      </c>
      <c r="AF2" s="23" t="e">
        <f>#REF!</f>
        <v>#REF!</v>
      </c>
      <c r="AG2" s="23" t="e">
        <f>#REF!</f>
        <v>#REF!</v>
      </c>
      <c r="AH2" s="53" t="e">
        <f>#REF!</f>
        <v>#REF!</v>
      </c>
      <c r="AI2" s="53" t="e">
        <f>#REF!</f>
        <v>#REF!</v>
      </c>
      <c r="AJ2" s="51">
        <f>'Anmeldeformular2024-1'!M62</f>
        <v>0</v>
      </c>
      <c r="AK2" s="51">
        <f>'Anmeldeformular2024-1'!P62</f>
        <v>0</v>
      </c>
      <c r="AL2" s="51">
        <f>'Anmeldeformular2024-1'!S62</f>
        <v>0</v>
      </c>
      <c r="AM2" s="51">
        <f>'Anmeldeformular2024-1'!V74</f>
        <v>0</v>
      </c>
      <c r="AN2" s="51">
        <f>'Anmeldeformular2024-1'!R76</f>
        <v>0</v>
      </c>
      <c r="AO2" s="51">
        <f>'Anmeldeformular2024-1'!U76</f>
        <v>0</v>
      </c>
      <c r="AP2" s="51" t="e">
        <f>'Anmeldeformular2024-1'!#REF!</f>
        <v>#REF!</v>
      </c>
      <c r="AQ2" s="51" t="e">
        <f>'Anmeldeformular2024-1'!#REF!</f>
        <v>#REF!</v>
      </c>
      <c r="AR2" s="51">
        <f>'Anmeldeformular2024-1'!R77</f>
        <v>0</v>
      </c>
      <c r="AS2" s="51">
        <f>'Anmeldeformular2024-1'!U77</f>
        <v>0</v>
      </c>
      <c r="AT2" s="51" t="e">
        <f>'Anmeldeformular2024-1'!#REF!</f>
        <v>#REF!</v>
      </c>
      <c r="AU2" s="51" t="e">
        <f>'Anmeldeformular2024-1'!#REF!</f>
        <v>#REF!</v>
      </c>
      <c r="AV2" s="51">
        <f>AN2+AR2</f>
        <v>0</v>
      </c>
      <c r="AW2" s="51">
        <f>AO2+AS2</f>
        <v>0</v>
      </c>
      <c r="AX2" s="51" t="e">
        <f>AP2+AT2</f>
        <v>#REF!</v>
      </c>
      <c r="AY2" s="51" t="e">
        <f>AQ2+AU2</f>
        <v>#REF!</v>
      </c>
      <c r="AZ2" s="3">
        <f>SUM('Anmeldeformular2024-1'!R63:R75)</f>
        <v>0</v>
      </c>
      <c r="BA2" s="3">
        <f>SUM('Anmeldeformular2024-1'!U63:U75)</f>
        <v>0</v>
      </c>
      <c r="BB2" s="3">
        <f>SUM('Anmeldeformular2024-1'!X69:X79)</f>
        <v>0</v>
      </c>
      <c r="BC2" s="3">
        <f>SUM('Anmeldeformular2024-1'!AA75:AA80)</f>
        <v>0</v>
      </c>
    </row>
    <row r="3" spans="1:55" x14ac:dyDescent="0.25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5"/>
    <row r="6" spans="1:55" s="2" customFormat="1" x14ac:dyDescent="0.25"/>
    <row r="7" spans="1:55" s="2" customFormat="1" x14ac:dyDescent="0.25"/>
  </sheetData>
  <customSheetViews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/>
  <dimension ref="A1"/>
  <sheetViews>
    <sheetView workbookViewId="0"/>
  </sheetViews>
  <sheetFormatPr baseColWidth="10" defaultRowHeight="13.2" x14ac:dyDescent="0.25"/>
  <sheetData/>
  <phoneticPr fontId="30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"/>
  <sheetViews>
    <sheetView workbookViewId="0"/>
  </sheetViews>
  <sheetFormatPr baseColWidth="10" defaultRowHeight="13.2" x14ac:dyDescent="0.25"/>
  <sheetData/>
  <phoneticPr fontId="30" type="noConversion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8"/>
  <dimension ref="A1"/>
  <sheetViews>
    <sheetView workbookViewId="0">
      <selection activeCell="C31" sqref="C31"/>
    </sheetView>
  </sheetViews>
  <sheetFormatPr baseColWidth="10" defaultRowHeight="13.2" x14ac:dyDescent="0.25"/>
  <sheetData/>
  <phoneticPr fontId="3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204</vt:i4>
      </vt:variant>
    </vt:vector>
  </HeadingPairs>
  <TitlesOfParts>
    <vt:vector size="225" baseType="lpstr">
      <vt:lpstr>Anmeldeformular2024-1</vt:lpstr>
      <vt:lpstr>Check</vt:lpstr>
      <vt:lpstr>DokuBogen</vt:lpstr>
      <vt:lpstr>DOKU_Verk</vt:lpstr>
      <vt:lpstr>Intern</vt:lpstr>
      <vt:lpstr>Auswahl</vt:lpstr>
      <vt:lpstr>HSOB</vt:lpstr>
      <vt:lpstr>GK</vt:lpstr>
      <vt:lpstr>Pachse</vt:lpstr>
      <vt:lpstr>spez.Ziel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Tabelle1</vt:lpstr>
      <vt:lpstr>Tabelle2</vt:lpstr>
      <vt:lpstr>Tabelle3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andland3jahr</vt:lpstr>
      <vt:lpstr>andland4jahr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ba3jahr</vt:lpstr>
      <vt:lpstr>ba4jahr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Chartaauswahl</vt:lpstr>
      <vt:lpstr>Datenzeile</vt:lpstr>
      <vt:lpstr>Dokuaktionauswahl</vt:lpstr>
      <vt:lpstr>Dokufansatzauswahl</vt:lpstr>
      <vt:lpstr>DokuPauswahl</vt:lpstr>
      <vt:lpstr>'Anmeldeformular2024-1'!Druckbereich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eigen3jahr</vt:lpstr>
      <vt:lpstr>eigenges</vt:lpstr>
      <vt:lpstr>einnahmen1jahr</vt:lpstr>
      <vt:lpstr>einnahmen2jahr</vt:lpstr>
      <vt:lpstr>einnahmen3jahr</vt:lpstr>
      <vt:lpstr>einnahmenges</vt:lpstr>
      <vt:lpstr>Ende</vt:lpstr>
      <vt:lpstr>entgelttn1jahr</vt:lpstr>
      <vt:lpstr>entgelttn2jahr</vt:lpstr>
      <vt:lpstr>entgelttn3jahr</vt:lpstr>
      <vt:lpstr>entgeltTNges</vt:lpstr>
      <vt:lpstr>Entschuldung</vt:lpstr>
      <vt:lpstr>ErlaeuterungChancengl</vt:lpstr>
      <vt:lpstr>esf1jahr</vt:lpstr>
      <vt:lpstr>esf2jahr</vt:lpstr>
      <vt:lpstr>esf3jahr</vt:lpstr>
      <vt:lpstr>esf4jahr</vt:lpstr>
      <vt:lpstr>esfges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Gleichstellungsauswahl</vt:lpstr>
      <vt:lpstr>HSOB</vt:lpstr>
      <vt:lpstr>Indikatorik</vt:lpstr>
      <vt:lpstr>Inhalte</vt:lpstr>
      <vt:lpstr>intervesf</vt:lpstr>
      <vt:lpstr>justiz1jahr</vt:lpstr>
      <vt:lpstr>justiz2jahr</vt:lpstr>
      <vt:lpstr>justiz3jahr</vt:lpstr>
      <vt:lpstr>justiz4jahr</vt:lpstr>
      <vt:lpstr>justizges</vt:lpstr>
      <vt:lpstr>KMU</vt:lpstr>
      <vt:lpstr>kom1jahr</vt:lpstr>
      <vt:lpstr>kom2jahr</vt:lpstr>
      <vt:lpstr>kom3jahr</vt:lpstr>
      <vt:lpstr>kom4jahr</vt:lpstr>
      <vt:lpstr>komges</vt:lpstr>
      <vt:lpstr>Koop</vt:lpstr>
      <vt:lpstr>Kost1jahr</vt:lpstr>
      <vt:lpstr>Kost2jahr</vt:lpstr>
      <vt:lpstr>Kost3jahr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mastd3jahr</vt:lpstr>
      <vt:lpstr>mastdges</vt:lpstr>
      <vt:lpstr>mb1jahr</vt:lpstr>
      <vt:lpstr>mb2jahr</vt:lpstr>
      <vt:lpstr>mb3jahr</vt:lpstr>
      <vt:lpstr>mb4jahr</vt:lpstr>
      <vt:lpstr>mbges</vt:lpstr>
      <vt:lpstr>Methode</vt:lpstr>
      <vt:lpstr>mffki1jahr</vt:lpstr>
      <vt:lpstr>mffki2jahr</vt:lpstr>
      <vt:lpstr>mffki3jahr</vt:lpstr>
      <vt:lpstr>mffkiges</vt:lpstr>
      <vt:lpstr>Migrat</vt:lpstr>
      <vt:lpstr>mkuem1jahr</vt:lpstr>
      <vt:lpstr>mkuem2jahr</vt:lpstr>
      <vt:lpstr>mkuem3jahr</vt:lpstr>
      <vt:lpstr>mkuemges</vt:lpstr>
      <vt:lpstr>mwg1jahr</vt:lpstr>
      <vt:lpstr>mwg2jahr</vt:lpstr>
      <vt:lpstr>mwg3jahr</vt:lpstr>
      <vt:lpstr>mwgges</vt:lpstr>
      <vt:lpstr>mwvlw1jahr</vt:lpstr>
      <vt:lpstr>mwvlw2jahr</vt:lpstr>
      <vt:lpstr>mwvlw3jahr</vt:lpstr>
      <vt:lpstr>mwvlwges</vt:lpstr>
      <vt:lpstr>Nachhaltigkeitauswahl</vt:lpstr>
      <vt:lpstr>neufass</vt:lpstr>
      <vt:lpstr>Nichtdiskriminierungsauswahl</vt:lpstr>
      <vt:lpstr>nrvorproj</vt:lpstr>
      <vt:lpstr>Pachse</vt:lpstr>
      <vt:lpstr>Pachseauswahl</vt:lpstr>
      <vt:lpstr>Pachsekurz</vt:lpstr>
      <vt:lpstr>Pachseliste</vt:lpstr>
      <vt:lpstr>Persk</vt:lpstr>
      <vt:lpstr>PkostAG</vt:lpstr>
      <vt:lpstr>Plstgansatzliste</vt:lpstr>
      <vt:lpstr>Plstgauswahlen</vt:lpstr>
      <vt:lpstr>Plstgauswahlgesamt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Quersch</vt:lpstr>
      <vt:lpstr>regBed</vt:lpstr>
      <vt:lpstr>sgbII1jahr</vt:lpstr>
      <vt:lpstr>sgbII2jahr</vt:lpstr>
      <vt:lpstr>SgbIIges</vt:lpstr>
      <vt:lpstr>SitZG</vt:lpstr>
      <vt:lpstr>SK</vt:lpstr>
      <vt:lpstr>spenden1jahr</vt:lpstr>
      <vt:lpstr>spenden2jahr</vt:lpstr>
      <vt:lpstr>spenden3jahr</vt:lpstr>
      <vt:lpstr>spendenges</vt:lpstr>
      <vt:lpstr>SProjBeginn</vt:lpstr>
      <vt:lpstr>sstgoef1jahr</vt:lpstr>
      <vt:lpstr>sstgoef2jahr</vt:lpstr>
      <vt:lpstr>sstgoeff3jahr</vt:lpstr>
      <vt:lpstr>sstgoefges</vt:lpstr>
      <vt:lpstr>Temail</vt:lpstr>
      <vt:lpstr>teurekanr</vt:lpstr>
      <vt:lpstr>Tfax</vt:lpstr>
      <vt:lpstr>Tname</vt:lpstr>
      <vt:lpstr>TNanz</vt:lpstr>
      <vt:lpstr>TNbes</vt:lpstr>
      <vt:lpstr>TNgeb1jahr</vt:lpstr>
      <vt:lpstr>tngeb2jahr</vt:lpstr>
      <vt:lpstr>tngeb3jahr</vt:lpstr>
      <vt:lpstr>TNgebges</vt:lpstr>
      <vt:lpstr>TNK</vt:lpstr>
      <vt:lpstr>TNml</vt:lpstr>
      <vt:lpstr>TNnichtbinär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Tstraße</vt:lpstr>
      <vt:lpstr>Ttel</vt:lpstr>
      <vt:lpstr>Ueregion</vt:lpstr>
      <vt:lpstr>VGK</vt:lpstr>
      <vt:lpstr>ZG</vt:lpstr>
      <vt:lpstr>ZGauswahl</vt:lpstr>
      <vt:lpstr>ZGliste</vt:lpstr>
      <vt:lpstr>zielvorg</vt:lpstr>
      <vt:lpstr>zuschussag1jahr</vt:lpstr>
      <vt:lpstr>zuschussag2jahr</vt:lpstr>
      <vt:lpstr>zuschussag3jahr</vt:lpstr>
      <vt:lpstr>ZuschussAGges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Hintz, Silvia</cp:lastModifiedBy>
  <cp:lastPrinted>2023-07-06T12:48:16Z</cp:lastPrinted>
  <dcterms:created xsi:type="dcterms:W3CDTF">2002-06-03T13:07:44Z</dcterms:created>
  <dcterms:modified xsi:type="dcterms:W3CDTF">2023-07-06T12:49:49Z</dcterms:modified>
</cp:coreProperties>
</file>