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ILVIA~1.HIN\AppData\Local\Temp\$$dv$$\"/>
    </mc:Choice>
  </mc:AlternateContent>
  <xr:revisionPtr revIDLastSave="0" documentId="13_ncr:1_{0F690EA0-1047-436E-87C4-8E16B34D99D1}" xr6:coauthVersionLast="47" xr6:coauthVersionMax="47" xr10:uidLastSave="{00000000-0000-0000-0000-000000000000}"/>
  <workbookProtection workbookAlgorithmName="SHA-512" workbookHashValue="i7HuDuXSwhScTXCQs22k20CXzzLCTA8kDjARmkXPHtpaTcjwrTIkquGiaex2FqViEDhDaR4w378K0XWXspQoEg==" workbookSaltValue="Zq70pT4drY1uTAsb3IHHiw==" workbookSpinCount="100000" lockStructure="1"/>
  <bookViews>
    <workbookView xWindow="-120" yWindow="-120" windowWidth="29040" windowHeight="15720" xr2:uid="{00000000-000D-0000-FFFF-FFFF00000000}"/>
  </bookViews>
  <sheets>
    <sheet name="Anmeldeformular2026-1" sheetId="1" r:id="rId1"/>
    <sheet name="Check" sheetId="6" r:id="rId2"/>
    <sheet name="DOKU_Verk" sheetId="18" state="hidden" r:id="rId3"/>
    <sheet name="Intern" sheetId="7" state="hidden" r:id="rId4"/>
    <sheet name="Dokubogen" sheetId="26" state="hidden" r:id="rId5"/>
    <sheet name="Änd.dokumentation" sheetId="27" state="hidden" r:id="rId6"/>
    <sheet name="Auswahl" sheetId="4" state="hidden" r:id="rId7"/>
    <sheet name="HSOB" sheetId="20" state="hidden" r:id="rId8"/>
    <sheet name="JC" sheetId="23" state="hidden" r:id="rId9"/>
    <sheet name="GK" sheetId="3" state="hidden" r:id="rId10"/>
    <sheet name="Pachse" sheetId="15" state="hidden" r:id="rId11"/>
    <sheet name="Spez.Ziel" sheetId="16" state="hidden" r:id="rId12"/>
    <sheet name="FAnsatz" sheetId="14" state="hidden" r:id="rId13"/>
    <sheet name="ZG" sheetId="11" state="hidden" r:id="rId14"/>
    <sheet name="Namen" sheetId="19" state="hidden" r:id="rId15"/>
    <sheet name="Namenliste" sheetId="8" state="hidden" r:id="rId16"/>
    <sheet name="Datenbank_Ende" sheetId="9" state="hidden" r:id="rId17"/>
  </sheets>
  <definedNames>
    <definedName name="_xlnm._FilterDatabase" localSheetId="9" hidden="1">GK!$A$2:$B$39</definedName>
    <definedName name="aBund">'Anmeldeformular2026-1'!$E$66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kofi">'Anmeldeformular2026-1'!$L$83</definedName>
    <definedName name="andland1jahr">'Anmeldeformular2026-1'!$P$70</definedName>
    <definedName name="andlandges">'Anmeldeformular2026-1'!$M$70</definedName>
    <definedName name="Anmeldeingang">Intern!$B$3</definedName>
    <definedName name="AnmeldeNummer">Intern!$A$3</definedName>
    <definedName name="Anspranrede">'Anmeldeformular2026-1'!$B$21</definedName>
    <definedName name="ansprmail">'Anmeldeformular2026-1'!$L$23</definedName>
    <definedName name="Ansprname">'Anmeldeformular2026-1'!$F$21</definedName>
    <definedName name="ansprtel">'Anmeldeformular2026-1'!$B$23</definedName>
    <definedName name="ansprvorname">'Anmeldeformular2026-1'!$Q$21</definedName>
    <definedName name="AZvorprojekt">'Anmeldeformular2026-1'!$AA$36</definedName>
    <definedName name="Ba1jahr">'Anmeldeformular2026-1'!$P$62</definedName>
    <definedName name="ba2jahr">'Anmeldeformular2026-1'!$S$62</definedName>
    <definedName name="BAges">'Anmeldeformular2026-1'!$M$62</definedName>
    <definedName name="BAinstit">'Anmeldeformular2026-1'!$H$93</definedName>
    <definedName name="Bedarf">'Anmeldeformular2026-1'!$B$111</definedName>
    <definedName name="Beginn">'Anmeldeformular2026-1'!$B$35</definedName>
    <definedName name="Beraterliste">GK!$B$1:$B$39</definedName>
    <definedName name="Beraternamen">HSOB!$A$1:$B$4</definedName>
    <definedName name="BewertungBS">Auswahl!$C$27</definedName>
    <definedName name="chartaauswahl">Auswahl!$C$11</definedName>
    <definedName name="Datenzeile">Intern!$A$3:$EE$3</definedName>
    <definedName name="Dokuaktionauswahl">Auswahl!$C$32</definedName>
    <definedName name="Dokufansatzauswahl">Auswahl!$C$33</definedName>
    <definedName name="DokuPauswahl">Auswahl!$C$31</definedName>
    <definedName name="Doplfoeauswahl">Auswahl!$C$38</definedName>
    <definedName name="_xlnm.Print_Area" localSheetId="1">Check!$A$1:$D$53</definedName>
    <definedName name="edwd">Auswahl!$D$3</definedName>
    <definedName name="edwdAuswahl">Auswahl!$C$3</definedName>
    <definedName name="eigen1jahr">'Anmeldeformular2026-1'!$P$74</definedName>
    <definedName name="eigen2jahr">'Anmeldeformular2026-1'!$S$74</definedName>
    <definedName name="eigenges">'Anmeldeformular2026-1'!$M$74</definedName>
    <definedName name="einnahmen1jahr">'Anmeldeformular2026-1'!$P$78</definedName>
    <definedName name="einnahmenges">'Anmeldeformular2026-1'!$M$78</definedName>
    <definedName name="Einord">Dokubogen!$L$65</definedName>
    <definedName name="Ende">'Anmeldeformular2026-1'!$F$35</definedName>
    <definedName name="Entschuldung">Auswahl!$C$20</definedName>
    <definedName name="ErlaeuterungChancengl">'Anmeldeformular2026-1'!$B$147</definedName>
    <definedName name="esf1jahr">'Anmeldeformular2026-1'!$P$80</definedName>
    <definedName name="esfges">'Anmeldeformular2026-1'!$M$80</definedName>
    <definedName name="EUcharta">Auswahl!$D$11</definedName>
    <definedName name="eurekanr">'Anmeldeformular2026-1'!$Q$26</definedName>
    <definedName name="EuropaIch">Auswahl!$C$21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auswahl">Auswahl!$C$35</definedName>
    <definedName name="Foeansatzlisteges">FAnsatz!$Q$2:$Q$20</definedName>
    <definedName name="Foeauswahl">Auswahl!$C$8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Auswahl!$C$14</definedName>
    <definedName name="HSOB">Auswahl!$E$5</definedName>
    <definedName name="Indikator">'Anmeldeformular2026-1'!$B$129</definedName>
    <definedName name="Inhalte">'Anmeldeformular2026-1'!$B$132</definedName>
    <definedName name="intervesf">'Anmeldeformular2026-1'!$W$83</definedName>
    <definedName name="Jobcenter">'Anmeldeformular2026-1'!$H$103</definedName>
    <definedName name="jobcenter1jahr">'Anmeldeformular2026-1'!$P$72</definedName>
    <definedName name="jobcenterges">'Anmeldeformular2026-1'!$M$72</definedName>
    <definedName name="Jpauschale">'Anmeldeformular2026-1'!$X$67</definedName>
    <definedName name="KMU">'Anmeldeformular2026-1'!$F$56</definedName>
    <definedName name="Kofi">Dokubogen!$L$68</definedName>
    <definedName name="kom1jahr">'Anmeldeformular2026-1'!$P$71</definedName>
    <definedName name="komges">'Anmeldeformular2026-1'!$M$71</definedName>
    <definedName name="Koop">'Anmeldeformular2026-1'!$B$135</definedName>
    <definedName name="Kost1jahr">'Anmeldeformular2026-1'!$P$61</definedName>
    <definedName name="Kost2jahr">'Anmeldeformular2026-1'!$S$61</definedName>
    <definedName name="kostges">'Anmeldeformular2026-1'!$M$61</definedName>
    <definedName name="Laufzeit">Auswahl!$B$29</definedName>
    <definedName name="LDKom">'Anmeldeformular2026-1'!$E$67</definedName>
    <definedName name="ltganrede">'Anmeldeformular2026-1'!$B$18</definedName>
    <definedName name="ltgname">'Anmeldeformular2026-1'!$H$18</definedName>
    <definedName name="ltgtitel">'Anmeldeformular2026-1'!$D$18</definedName>
    <definedName name="ltgvorname">'Anmeldeformular2026-1'!$Q$18</definedName>
    <definedName name="mastd1jahr">'Anmeldeformular2026-1'!$P$63</definedName>
    <definedName name="mastdges">'Anmeldeformular2026-1'!$M$63</definedName>
    <definedName name="mb1jahr">'Anmeldeformular2026-1'!$P$64</definedName>
    <definedName name="mbges">'Anmeldeformular2026-1'!$M$64</definedName>
    <definedName name="Methode">'Anmeldeformular2026-1'!$B$137</definedName>
    <definedName name="mffKi1jahr">'Anmeldeformular2026-1'!$P$65</definedName>
    <definedName name="mffkiges">'Anmeldeformular2026-1'!$M$65</definedName>
    <definedName name="Migrat">'Anmeldeformular2026-1'!$H$53</definedName>
    <definedName name="mj1jahr">'Anmeldeformular2026-1'!$P$67</definedName>
    <definedName name="mjges">'Anmeldeformular2026-1'!$M$67</definedName>
    <definedName name="mkuem1jahr">'Anmeldeformular2026-1'!$P$69</definedName>
    <definedName name="mkuemges">'Anmeldeformular2026-1'!$M$69</definedName>
    <definedName name="mwg1jahr">'Anmeldeformular2026-1'!$P$66</definedName>
    <definedName name="mwgges">'Anmeldeformular2026-1'!$M$66</definedName>
    <definedName name="mwvlw1jahr">'Anmeldeformular2026-1'!$P$68</definedName>
    <definedName name="mwvlwges">'Anmeldeformular2026-1'!$M$68</definedName>
    <definedName name="Nachhaltigkeitauswahl">Auswahl!$C$17</definedName>
    <definedName name="Nachhaltigkeitsauswahl">Auswahl!$C$17</definedName>
    <definedName name="NeuFA">Dokubogen!$T$65</definedName>
    <definedName name="neufass">Intern!$C$3</definedName>
    <definedName name="Nichtdiskriminierungsauswahl">Auswahl!$C$15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auschale">'Anmeldeformular2026-1'!$AB$67</definedName>
    <definedName name="PK">Auswahl!$D$10</definedName>
    <definedName name="PkostAG">'Anmeldeformular2026-1'!$E$76</definedName>
    <definedName name="Pnrvorgaenger">'Anmeldeformular2026-1'!$P$35</definedName>
    <definedName name="Prio2auswahl">Auswahl!$C$26</definedName>
    <definedName name="Prioauswahl">Auswahl!$C$25</definedName>
    <definedName name="Projektname">Namenliste!$B$195</definedName>
    <definedName name="Projnettokosten">'Anmeldeformular2026-1'!$Z$82</definedName>
    <definedName name="Prüfergebnis">Dokubogen!$G$93</definedName>
    <definedName name="Pstruktur">'Anmeldeformular2026-1'!$B$122</definedName>
    <definedName name="Ptitel">'Anmeldeformular2026-1'!$B$32</definedName>
    <definedName name="Punkte">Dokubogen!$AE$85</definedName>
    <definedName name="Quersch">'Anmeldeformular2026-1'!$B$146</definedName>
    <definedName name="regBed">'Anmeldeformular2026-1'!$B$113</definedName>
    <definedName name="Region">'Anmeldeformular2026-1'!$V$37:$AB$38</definedName>
    <definedName name="SER">'Anmeldeformular2026-1'!$V$38</definedName>
    <definedName name="SitZG">'Anmeldeformular2026-1'!$B$119</definedName>
    <definedName name="spenden1jahr">'Anmeldeformular2026-1'!$P$79</definedName>
    <definedName name="spendenges">'Anmeldeformular2026-1'!$M$79</definedName>
    <definedName name="spezZiel">'Anmeldeformular2026-1'!$B$41</definedName>
    <definedName name="Sprobeginn">Namenliste!$B$193</definedName>
    <definedName name="sstgoeffentl1jahr">'Anmeldeformular2026-1'!$P$73</definedName>
    <definedName name="sstgoeffentlges">'Anmeldeformular2026-1'!$M$73</definedName>
    <definedName name="Stdanzahl">'Anmeldeformular2026-1'!$X$61</definedName>
    <definedName name="Stdpausch">'Anmeldeformular2026-1'!$X$64</definedName>
    <definedName name="Temail">'Anmeldeformular2026-1'!$L$15</definedName>
    <definedName name="teurekanr">'Anmeldeformular2026-1'!$V$25</definedName>
    <definedName name="Tfax">'Anmeldeformular2026-1'!$G$15</definedName>
    <definedName name="Tname">'Anmeldeformular2026-1'!$B$11</definedName>
    <definedName name="TNanz">'Anmeldeformular2026-1'!$F$48</definedName>
    <definedName name="TNbes">'Anmeldeformular2026-1'!$F$55</definedName>
    <definedName name="tnentgelt1jahr">'Anmeldeformular2026-1'!$P$76</definedName>
    <definedName name="Tnentgeltges">'Anmeldeformular2026-1'!$M$76</definedName>
    <definedName name="tngebühren1jahr">'Anmeldeformular2026-1'!$P$77</definedName>
    <definedName name="tngebührenges">'Anmeldeformular2026-1'!$M$77</definedName>
    <definedName name="TNml">'Anmeldeformular2026-1'!$F$50</definedName>
    <definedName name="TNnbinär">'Anmeldeformular2026-1'!$F$51</definedName>
    <definedName name="TNnichtbinär">'Anmeldeformular2026-1'!$F$51</definedName>
    <definedName name="TNpl">'Anmeldeformular2026-1'!$F$47</definedName>
    <definedName name="TNrlpauswahl">Auswahl!$C$4</definedName>
    <definedName name="TNu25j">'Anmeldeformular2026-1'!$F$51</definedName>
    <definedName name="TNue25">'Anmeldeformular2026-1'!$F$52</definedName>
    <definedName name="TNue45">'Anmeldeformular2026-1'!$F$53</definedName>
    <definedName name="Tnue55">'Anmeldeformular2026-1'!$F$54</definedName>
    <definedName name="TNwbl">'Anmeldeformular2026-1'!$F$49</definedName>
    <definedName name="Tort">'Anmeldeformular2026-1'!$P$13</definedName>
    <definedName name="Tplz">'Anmeldeformular2026-1'!$L$13</definedName>
    <definedName name="Transnationalauswahl">Auswahl!$C$16</definedName>
    <definedName name="Tstraße">'Anmeldeformular2026-1'!$B$13</definedName>
    <definedName name="Ttel">'Anmeldeformular2026-1'!$B$15</definedName>
    <definedName name="Ueregion">'Anmeldeformular2026-1'!$V$37</definedName>
    <definedName name="vorprojnr">'Anmeldeformular2026-1'!$W$35</definedName>
    <definedName name="Z_04F5F062_CD85_4BE7_B897_A8C5C601EF7B_.wvu.Rows" localSheetId="0" hidden="1">'Anmeldeformular2026-1'!$405:$65503,'Anmeldeformular2026-1'!#REF!,'Anmeldeformular2026-1'!#REF!,'Anmeldeformular2026-1'!$158:$158</definedName>
    <definedName name="Z_EEA7A97B_E2BF_43AD_B211_D284BEE221A1_.wvu.Rows" localSheetId="0" hidden="1">'Anmeldeformular2026-1'!$405:$65503,'Anmeldeformular2026-1'!#REF!,'Anmeldeformular2026-1'!#REF!,'Anmeldeformular2026-1'!$158:$158</definedName>
    <definedName name="ZG">Auswahl!$D$9</definedName>
    <definedName name="ZGauswahl">Auswahl!$C$9</definedName>
    <definedName name="ZGliste">ZG!$A$1:$A$4</definedName>
    <definedName name="Zielvorg">'Anmeldeformular2026-1'!$B$125</definedName>
    <definedName name="Zielvorg.">'Anmeldeformular2026-1'!$B$115</definedName>
    <definedName name="zuschussuntern1jahr">'Anmeldeformular2026-1'!$P$75</definedName>
    <definedName name="zuschussunternges">'Anmeldeformular2026-1'!$M$75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2" i="26" l="1"/>
  <c r="B24" i="6"/>
  <c r="E8" i="4"/>
  <c r="D15" i="4" a="1"/>
  <c r="D15" i="4" s="1"/>
  <c r="L30" i="26"/>
  <c r="AC14" i="26"/>
  <c r="H16" i="26"/>
  <c r="K75" i="26"/>
  <c r="K74" i="26"/>
  <c r="K73" i="26"/>
  <c r="K72" i="26"/>
  <c r="D11" i="4"/>
  <c r="G30" i="26" l="1" a="1"/>
  <c r="G30" i="26" s="1"/>
  <c r="L67" i="26" l="1"/>
  <c r="L66" i="26"/>
  <c r="P65" i="26"/>
  <c r="L64" i="26"/>
  <c r="L63" i="26"/>
  <c r="AD61" i="26"/>
  <c r="L61" i="26"/>
  <c r="L34" i="26"/>
  <c r="H32" i="26"/>
  <c r="W30" i="26"/>
  <c r="U26" i="26"/>
  <c r="I26" i="26"/>
  <c r="N14" i="26"/>
  <c r="H14" i="26"/>
  <c r="H13" i="26"/>
  <c r="Q10" i="26"/>
  <c r="D10" i="26"/>
  <c r="H9" i="26"/>
  <c r="G8" i="26"/>
  <c r="AD6" i="26"/>
  <c r="V6" i="26"/>
  <c r="E6" i="26"/>
  <c r="D38" i="4" l="1"/>
  <c r="D17" i="4" l="1"/>
  <c r="D16" i="4"/>
  <c r="D14" i="4"/>
  <c r="B27" i="1"/>
  <c r="D42" i="6"/>
  <c r="D41" i="6"/>
  <c r="D40" i="6"/>
  <c r="D39" i="6"/>
  <c r="B22" i="6"/>
  <c r="AI3" i="7"/>
  <c r="Q25" i="1" l="1"/>
  <c r="B23" i="6" l="1"/>
  <c r="D22" i="6"/>
  <c r="D45" i="6" l="1"/>
  <c r="B6" i="6"/>
  <c r="B5" i="6"/>
  <c r="D6" i="6"/>
  <c r="D5" i="6"/>
  <c r="D31" i="6" l="1"/>
  <c r="D35" i="6"/>
  <c r="D34" i="6"/>
  <c r="D33" i="6"/>
  <c r="D32" i="6"/>
  <c r="X67" i="1" l="1"/>
  <c r="AA21" i="1" l="1"/>
  <c r="AA20" i="1"/>
  <c r="BB2" i="9"/>
  <c r="M80" i="1"/>
  <c r="M78" i="1"/>
  <c r="M79" i="1"/>
  <c r="B70" i="6" s="1"/>
  <c r="M70" i="1"/>
  <c r="B101" i="1" s="1"/>
  <c r="M69" i="1"/>
  <c r="M68" i="1"/>
  <c r="B49" i="6" s="1"/>
  <c r="M67" i="1"/>
  <c r="M64" i="1"/>
  <c r="Q23" i="26" s="1"/>
  <c r="M73" i="1"/>
  <c r="B63" i="6" s="1"/>
  <c r="M72" i="1"/>
  <c r="B103" i="1" s="1"/>
  <c r="M71" i="1"/>
  <c r="B102" i="1" s="1"/>
  <c r="M66" i="1"/>
  <c r="M65" i="1"/>
  <c r="M63" i="1"/>
  <c r="M23" i="26" s="1"/>
  <c r="M62" i="1"/>
  <c r="B32" i="6" s="1"/>
  <c r="M74" i="1"/>
  <c r="M75" i="1"/>
  <c r="B66" i="6" s="1"/>
  <c r="M76" i="1"/>
  <c r="M77" i="1"/>
  <c r="AA11" i="1"/>
  <c r="AA18" i="1"/>
  <c r="AA17" i="1"/>
  <c r="AA12" i="1"/>
  <c r="AM2" i="9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A7" i="14"/>
  <c r="M6" i="18"/>
  <c r="A2" i="16"/>
  <c r="A3" i="16"/>
  <c r="A4" i="16"/>
  <c r="A5" i="16"/>
  <c r="A6" i="16"/>
  <c r="A7" i="16"/>
  <c r="D2" i="4"/>
  <c r="D3" i="4"/>
  <c r="D4" i="4"/>
  <c r="E6" i="4"/>
  <c r="D20" i="4"/>
  <c r="D21" i="4"/>
  <c r="B29" i="4"/>
  <c r="B4" i="6"/>
  <c r="D4" i="6"/>
  <c r="B7" i="6"/>
  <c r="B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D46" i="6"/>
  <c r="D47" i="6"/>
  <c r="C49" i="6"/>
  <c r="C50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E84" i="26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A13" i="14"/>
  <c r="A2" i="9"/>
  <c r="B2" i="9"/>
  <c r="AL2" i="9"/>
  <c r="P61" i="1"/>
  <c r="CQ3" i="7"/>
  <c r="D31" i="4"/>
  <c r="DF3" i="7"/>
  <c r="DZ3" i="7"/>
  <c r="W3" i="7"/>
  <c r="CG3" i="7"/>
  <c r="EI3" i="7"/>
  <c r="AX3" i="7"/>
  <c r="DJ3" i="7"/>
  <c r="M3" i="7"/>
  <c r="DP3" i="7"/>
  <c r="DA3" i="7"/>
  <c r="AS3" i="7"/>
  <c r="T3" i="7"/>
  <c r="R3" i="7"/>
  <c r="BM3" i="7"/>
  <c r="CV3" i="7"/>
  <c r="S3" i="7"/>
  <c r="AC3" i="7"/>
  <c r="Q3" i="7"/>
  <c r="AA3" i="7"/>
  <c r="N3" i="7"/>
  <c r="AK3" i="7"/>
  <c r="D9" i="4"/>
  <c r="O3" i="7"/>
  <c r="D6" i="4"/>
  <c r="CL3" i="7"/>
  <c r="E5" i="4"/>
  <c r="AN3" i="7"/>
  <c r="CK3" i="7"/>
  <c r="AD3" i="7"/>
  <c r="AW3" i="7"/>
  <c r="Y3" i="7"/>
  <c r="D5" i="4"/>
  <c r="J3" i="7"/>
  <c r="DK3" i="7"/>
  <c r="BQ3" i="7"/>
  <c r="BV3" i="7"/>
  <c r="D7" i="4"/>
  <c r="BC3" i="7"/>
  <c r="D32" i="4"/>
  <c r="AE3" i="7"/>
  <c r="Z3" i="7"/>
  <c r="AL3" i="7"/>
  <c r="DU3" i="7"/>
  <c r="EE3" i="7"/>
  <c r="CU3" i="7"/>
  <c r="AM3" i="7"/>
  <c r="V3" i="7"/>
  <c r="BL3" i="7"/>
  <c r="CA3" i="7"/>
  <c r="AB3" i="7"/>
  <c r="DT3" i="7"/>
  <c r="K3" i="7"/>
  <c r="CZ3" i="7"/>
  <c r="DO3" i="7"/>
  <c r="BR3" i="7"/>
  <c r="BW3" i="7"/>
  <c r="U3" i="7"/>
  <c r="EN3" i="7"/>
  <c r="CB3" i="7"/>
  <c r="BH3" i="7"/>
  <c r="BG3" i="7"/>
  <c r="X3" i="7"/>
  <c r="ED3" i="7"/>
  <c r="CF3" i="7"/>
  <c r="EJ3" i="7"/>
  <c r="P3" i="7"/>
  <c r="DY3" i="7"/>
  <c r="DE3" i="7"/>
  <c r="BB3" i="7"/>
  <c r="CP3" i="7"/>
  <c r="L3" i="7"/>
  <c r="AJ3" i="7"/>
  <c r="D33" i="4"/>
  <c r="H8" i="18" l="1"/>
  <c r="M29" i="26"/>
  <c r="I23" i="26"/>
  <c r="B97" i="1"/>
  <c r="Y23" i="26"/>
  <c r="B96" i="1"/>
  <c r="U23" i="26"/>
  <c r="H18" i="26"/>
  <c r="H15" i="26"/>
  <c r="V37" i="1"/>
  <c r="V38" i="1"/>
  <c r="AC15" i="26" s="1"/>
  <c r="B51" i="6"/>
  <c r="B100" i="1"/>
  <c r="B45" i="6"/>
  <c r="B98" i="1"/>
  <c r="B36" i="6"/>
  <c r="B95" i="1"/>
  <c r="B35" i="6"/>
  <c r="B34" i="6"/>
  <c r="B33" i="6"/>
  <c r="B94" i="1"/>
  <c r="AY2" i="9"/>
  <c r="J8" i="18"/>
  <c r="F8" i="18"/>
  <c r="B43" i="6"/>
  <c r="B69" i="6"/>
  <c r="B52" i="6"/>
  <c r="B41" i="6"/>
  <c r="B60" i="6"/>
  <c r="B62" i="6"/>
  <c r="A4" i="14"/>
  <c r="F16" i="18"/>
  <c r="M8" i="18"/>
  <c r="B61" i="6"/>
  <c r="C16" i="18"/>
  <c r="AE81" i="26" s="1"/>
  <c r="A16" i="18"/>
  <c r="AE79" i="26" s="1"/>
  <c r="B30" i="6"/>
  <c r="B93" i="1"/>
  <c r="B40" i="6"/>
  <c r="B50" i="6"/>
  <c r="B39" i="6"/>
  <c r="B99" i="1"/>
  <c r="B48" i="6"/>
  <c r="B84" i="1"/>
  <c r="A3" i="14"/>
  <c r="B56" i="6"/>
  <c r="H16" i="18"/>
  <c r="B8" i="18"/>
  <c r="Q8" i="18"/>
  <c r="B64" i="6"/>
  <c r="B67" i="6"/>
  <c r="B31" i="6"/>
  <c r="B105" i="1"/>
  <c r="A6" i="14"/>
  <c r="B55" i="6"/>
  <c r="E16" i="18"/>
  <c r="AE83" i="26" s="1"/>
  <c r="B68" i="6"/>
  <c r="B28" i="6"/>
  <c r="A2" i="14"/>
  <c r="A5" i="14"/>
  <c r="B54" i="6"/>
  <c r="B16" i="18"/>
  <c r="AE80" i="26" s="1"/>
  <c r="D16" i="18"/>
  <c r="AE82" i="26" s="1"/>
  <c r="O8" i="18"/>
  <c r="D8" i="18"/>
  <c r="B37" i="6"/>
  <c r="AV2" i="9"/>
  <c r="B42" i="6"/>
  <c r="B44" i="6"/>
  <c r="B38" i="6"/>
  <c r="AW2" i="9"/>
  <c r="AX2" i="9"/>
  <c r="M61" i="1"/>
  <c r="AK2" i="9"/>
  <c r="B65" i="6"/>
  <c r="B71" i="6"/>
  <c r="B46" i="6"/>
  <c r="B58" i="6"/>
  <c r="B59" i="6"/>
  <c r="B104" i="1"/>
  <c r="B47" i="6"/>
  <c r="B106" i="1"/>
  <c r="B57" i="6"/>
  <c r="B53" i="6"/>
  <c r="AG3" i="7"/>
  <c r="D8" i="4"/>
  <c r="AO3" i="7"/>
  <c r="AH3" i="7"/>
  <c r="AR3" i="7"/>
  <c r="AF3" i="7"/>
  <c r="AE85" i="26" l="1"/>
  <c r="I21" i="26"/>
  <c r="AC23" i="26"/>
  <c r="H17" i="26"/>
  <c r="D14" i="6"/>
  <c r="B27" i="6"/>
  <c r="W83" i="1"/>
  <c r="AJ2" i="9"/>
  <c r="L83" i="1"/>
  <c r="L82" i="1"/>
  <c r="EO3" i="7"/>
  <c r="EP3" i="7"/>
  <c r="AC24" i="26" l="1"/>
  <c r="Y24" i="26"/>
  <c r="I27" i="26"/>
  <c r="U27" i="26"/>
  <c r="I24" i="26"/>
  <c r="M24" i="26"/>
  <c r="Q24" i="26"/>
  <c r="U24" i="26"/>
  <c r="O83" i="1"/>
  <c r="J31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58E1973D-5F05-4ADD-AA12-932DC9C95859}">
      <text>
        <r>
          <rPr>
            <sz val="9"/>
            <color indexed="81"/>
            <rFont val="Arial"/>
            <family val="2"/>
          </rPr>
          <t xml:space="preserve">Die Beteiligung am ESF+-Anmeldeverfahren 2025-1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5.1.</t>
        </r>
      </text>
    </comment>
    <comment ref="F35" authorId="0" shapeId="0" xr:uid="{C398B160-200A-46A9-92C8-F78C1F7F2EA3}">
      <text>
        <r>
          <rPr>
            <sz val="9"/>
            <color indexed="81"/>
            <rFont val="Segoe UI"/>
            <family val="2"/>
          </rPr>
          <t xml:space="preserve">Projektende bis spätestens 31.12.2026
</t>
        </r>
      </text>
    </comment>
    <comment ref="W35" authorId="0" shapeId="0" xr:uid="{5B8A3C83-332A-4F8F-9FB2-8CE4100D4E83}">
      <text>
        <r>
          <rPr>
            <sz val="10"/>
            <color indexed="81"/>
            <rFont val="Arial"/>
            <family val="2"/>
          </rPr>
          <t>Wenn Sie Ihr Projekt zur wiederholten Durchführung anmelden, tragen Sie hier bitte die EurekaRLP Plus Projektnummer des Vorprojektes ein.</t>
        </r>
      </text>
    </comment>
    <comment ref="X61" authorId="0" shapeId="0" xr:uid="{00000000-0006-0000-0000-000001000000}">
      <text>
        <r>
          <rPr>
            <sz val="10"/>
            <color indexed="81"/>
            <rFont val="Arial"/>
            <family val="2"/>
          </rPr>
          <t>Tragen Sie hier bitte die geplanten Leistungseinheiten (Std. à 45 min /siehe auch die jeweiligen Rahmenbedingungen) für die gesamte Projektlaufzeit ein.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7" authorId="0" shapeId="0" xr:uid="{00000000-0006-0000-0000-000002000000}">
      <text>
        <r>
          <rPr>
            <sz val="10"/>
            <color indexed="81"/>
            <rFont val="Arial"/>
            <family val="2"/>
          </rPr>
          <t>Summe: Anzahl Leistungseinheiten mal 51 € = Gesamtkosten</t>
        </r>
      </text>
    </comment>
    <comment ref="H103" authorId="0" shapeId="0" xr:uid="{5F3F930B-CECE-4297-A832-06F61D1F82F4}">
      <text>
        <r>
          <rPr>
            <b/>
            <sz val="12"/>
            <color indexed="81"/>
            <rFont val="Segoe UI"/>
            <family val="2"/>
          </rPr>
          <t>Bitte nutzen Sie das Dropdownmenü zur Auswahl des Jobcenters!</t>
        </r>
        <r>
          <rPr>
            <sz val="12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<sst xmlns="http://schemas.openxmlformats.org/spreadsheetml/2006/main" count="1618" uniqueCount="981">
  <si>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</si>
  <si>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</si>
  <si>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</si>
  <si>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</si>
  <si>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</si>
  <si>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</si>
  <si>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</si>
  <si>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</si>
  <si>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</si>
  <si>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</si>
  <si>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</si>
  <si>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</si>
  <si>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</si>
  <si>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</si>
  <si>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</si>
  <si>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</si>
  <si>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</si>
  <si>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</si>
  <si>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</si>
  <si>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</si>
  <si>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</si>
  <si>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</si>
  <si>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</si>
  <si>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</si>
  <si>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</si>
  <si>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</si>
  <si>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</si>
  <si>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</si>
  <si>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</si>
  <si>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</si>
  <si>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</si>
  <si>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</si>
  <si>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</si>
  <si>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</si>
  <si>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</si>
  <si>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Gesamtpunkte:</t>
  </si>
  <si>
    <t>PLZ</t>
  </si>
  <si>
    <t>Ort</t>
  </si>
  <si>
    <t>Telefon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</si>
  <si>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</si>
  <si>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</si>
  <si>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</si>
  <si>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</si>
  <si>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</si>
  <si>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</si>
  <si>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</si>
  <si>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</si>
  <si>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</si>
  <si>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</si>
  <si>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</si>
  <si>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</si>
  <si>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</si>
  <si>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</si>
  <si>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</si>
  <si>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</si>
  <si>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</si>
  <si>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</si>
  <si>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</si>
  <si>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</si>
  <si>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</si>
  <si>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</si>
  <si>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</si>
  <si>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</si>
  <si>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</si>
  <si>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</si>
  <si>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</si>
  <si>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</si>
  <si>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</si>
  <si>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</si>
  <si>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</si>
  <si>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</si>
  <si>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</si>
  <si>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</si>
  <si>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</si>
  <si>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</si>
  <si>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</si>
  <si>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</si>
  <si>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</si>
  <si>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</si>
  <si>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</si>
  <si>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</si>
  <si>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</si>
  <si>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</si>
  <si>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</si>
  <si>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</si>
  <si>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</si>
  <si>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</si>
  <si>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</si>
  <si>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</si>
  <si>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</si>
  <si>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</si>
  <si>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</si>
  <si>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</si>
  <si>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</si>
  <si>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</si>
  <si>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</si>
  <si>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</si>
  <si>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</si>
  <si>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</si>
  <si>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</si>
  <si>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</si>
  <si>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</si>
  <si>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</si>
  <si>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</si>
  <si>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</si>
  <si>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</si>
  <si>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 xml:space="preserve">E-Mail: </t>
  </si>
  <si>
    <t>Laufzeit:</t>
  </si>
  <si>
    <t>Beginndatum korrekt:</t>
  </si>
  <si>
    <t>Verketten</t>
  </si>
  <si>
    <t>Programmlinie explizit nicht im Aufruf</t>
  </si>
  <si>
    <t>nicht förderfähig im Sinne der AMP in RLP</t>
  </si>
  <si>
    <t>Teilnehmende</t>
  </si>
  <si>
    <t>TN -Migration</t>
  </si>
  <si>
    <t>Herrn</t>
  </si>
  <si>
    <t xml:space="preserve">Sie haben im Finanzierungsplan folgende </t>
  </si>
  <si>
    <t>Konzept - Ranking - Punkte</t>
  </si>
  <si>
    <t>Begründung bei "nein"</t>
  </si>
  <si>
    <t>RB</t>
  </si>
  <si>
    <t xml:space="preserve">lfd. Nr. </t>
  </si>
  <si>
    <t>Kosten- gesamt</t>
  </si>
  <si>
    <t>Kofi- gesamt</t>
  </si>
  <si>
    <t>Förderung- gesamt</t>
  </si>
  <si>
    <t>ja</t>
  </si>
  <si>
    <t>Rahmenbedingungen</t>
  </si>
  <si>
    <t>Punkte</t>
  </si>
  <si>
    <t>Korr. Prio-Achse</t>
  </si>
  <si>
    <t>Eingang</t>
  </si>
  <si>
    <t>HSOB</t>
  </si>
  <si>
    <t>Titel</t>
  </si>
  <si>
    <t>ESF-Mittel gesamt</t>
  </si>
  <si>
    <t>MASGFF gesamt</t>
  </si>
  <si>
    <t>Projekttitel</t>
  </si>
  <si>
    <t>Aktion</t>
  </si>
  <si>
    <t>FÖ-An.</t>
  </si>
  <si>
    <t>Korr. Aktion</t>
  </si>
  <si>
    <t>Über 45</t>
  </si>
  <si>
    <t xml:space="preserve">
</t>
  </si>
  <si>
    <t>Zielgruppe lt. Aufruf</t>
  </si>
  <si>
    <t>Aktive Kofi</t>
  </si>
  <si>
    <t>Inhalte</t>
  </si>
  <si>
    <t>Projektstruktur</t>
  </si>
  <si>
    <t>Besonderes Merkmal</t>
  </si>
  <si>
    <t>Vorgelegte Beschreibung bzgl.</t>
  </si>
  <si>
    <t>Projektbewertung:</t>
  </si>
  <si>
    <t>Kontakte</t>
  </si>
  <si>
    <t>bes.Merkmal</t>
  </si>
  <si>
    <t>P-fortschritt</t>
  </si>
  <si>
    <t>(Sehr) gut</t>
  </si>
  <si>
    <t>Gute Ansätze, aber ungenau</t>
  </si>
  <si>
    <t>Messung Fortschritt u. Egebniskontrolle</t>
  </si>
  <si>
    <t>Plätze/gesamt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</si>
  <si>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</si>
  <si>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</si>
  <si>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</si>
  <si>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</si>
  <si>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</si>
  <si>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</si>
  <si>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</si>
  <si>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</si>
  <si>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</si>
  <si>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</si>
  <si>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</si>
  <si>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</si>
  <si>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</si>
  <si>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</si>
  <si>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</si>
  <si>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</si>
  <si>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</si>
  <si>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</si>
  <si>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</si>
  <si>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</si>
  <si>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</si>
  <si>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</si>
  <si>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</si>
  <si>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</si>
  <si>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</si>
  <si>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</si>
  <si>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</si>
  <si>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</si>
  <si>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</si>
  <si>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</si>
  <si>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</si>
  <si>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</si>
  <si>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</si>
  <si>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</si>
  <si>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</si>
  <si>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</si>
  <si>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</si>
  <si>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</si>
  <si>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</si>
  <si>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</si>
  <si>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</si>
  <si>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</si>
  <si>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</si>
  <si>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</si>
  <si>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</si>
  <si>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</si>
  <si>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</si>
  <si>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</si>
  <si>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</si>
  <si>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</si>
  <si>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</si>
  <si>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</si>
  <si>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</si>
  <si>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</si>
  <si>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</si>
  <si>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</si>
  <si>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</si>
  <si>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</si>
  <si>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</si>
  <si>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</si>
  <si>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</si>
  <si>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</si>
  <si>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</si>
  <si>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</si>
  <si>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</si>
  <si>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</si>
  <si>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</si>
  <si>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</si>
  <si>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</si>
  <si>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</si>
  <si>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</si>
  <si>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</si>
  <si>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</si>
  <si>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</si>
  <si>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</si>
  <si>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</si>
  <si>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</si>
  <si>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</si>
  <si>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</si>
  <si>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</si>
  <si>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</si>
  <si>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</si>
  <si>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</si>
  <si>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</si>
  <si>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</si>
  <si>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</si>
  <si>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</si>
  <si>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</si>
  <si>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</si>
  <si>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</si>
  <si>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</si>
  <si>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</si>
  <si>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</si>
  <si>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</si>
  <si>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</si>
  <si>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</si>
  <si>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</si>
  <si>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</si>
  <si>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</si>
  <si>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</si>
  <si>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</si>
  <si>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</si>
  <si>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</si>
  <si>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</si>
  <si>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</si>
  <si>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</si>
  <si>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</si>
  <si>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</si>
  <si>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</si>
  <si>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</si>
  <si>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</si>
  <si>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</si>
  <si>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</si>
  <si>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</si>
  <si>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</si>
  <si>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</si>
  <si>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</si>
  <si>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</si>
  <si>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</si>
  <si>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</si>
  <si>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</si>
  <si>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</si>
  <si>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</si>
  <si>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</si>
  <si>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</si>
  <si>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</si>
  <si>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</si>
  <si>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</si>
  <si>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</si>
  <si>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</si>
  <si>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</si>
  <si>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</si>
  <si>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</si>
  <si>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</si>
  <si>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</si>
  <si>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</si>
  <si>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</si>
  <si>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</si>
  <si>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</si>
  <si>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</si>
  <si>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</si>
  <si>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</si>
  <si>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</si>
  <si>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</si>
  <si>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</si>
  <si>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Interventionsgrad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</si>
  <si>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</si>
  <si>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</si>
  <si>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</si>
  <si>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</si>
  <si>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</si>
  <si>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</si>
  <si>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</si>
  <si>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</si>
  <si>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</si>
  <si>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</si>
  <si>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</si>
  <si>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</si>
  <si>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</si>
  <si>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</si>
  <si>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</si>
  <si>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</si>
  <si>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</si>
  <si>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</si>
  <si>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</si>
  <si>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</si>
  <si>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</si>
  <si>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</si>
  <si>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</si>
  <si>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</si>
  <si>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</si>
  <si>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>Prio2auswahl</t>
  </si>
  <si>
    <t>Bewertung BS</t>
  </si>
  <si>
    <t>Bedarfbest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</si>
  <si>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</si>
  <si>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</si>
  <si>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</si>
  <si>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</si>
  <si>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</si>
  <si>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</si>
  <si>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</si>
  <si>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</si>
  <si>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</si>
  <si>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</si>
  <si>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</si>
  <si>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</si>
  <si>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</si>
  <si>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</si>
  <si>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</si>
  <si>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</si>
  <si>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</si>
  <si>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</si>
  <si>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</si>
  <si>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</si>
  <si>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</si>
  <si>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</si>
  <si>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</si>
  <si>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</si>
  <si>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</si>
  <si>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</si>
  <si>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</si>
  <si>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</si>
  <si>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</si>
  <si>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</si>
  <si>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</si>
  <si>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</si>
  <si>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</si>
  <si>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</si>
  <si>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</si>
  <si>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</si>
  <si>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</si>
  <si>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</si>
  <si>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</si>
  <si>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</si>
  <si>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</si>
  <si>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</si>
  <si>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</si>
  <si>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</si>
  <si>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</si>
  <si>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</si>
  <si>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</si>
  <si>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</si>
  <si>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</si>
  <si>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</si>
  <si>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</si>
  <si>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</si>
  <si>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</si>
  <si>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</si>
  <si>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</si>
  <si>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</si>
  <si>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</si>
  <si>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</si>
  <si>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</si>
  <si>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</si>
  <si>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</si>
  <si>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</si>
  <si>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</si>
  <si>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</si>
  <si>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</si>
  <si>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</si>
  <si>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</si>
  <si>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</si>
  <si>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</si>
  <si>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</si>
  <si>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</si>
  <si>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</si>
  <si>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</si>
  <si>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</si>
  <si>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</si>
  <si>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</si>
  <si>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</si>
  <si>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</si>
  <si>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</si>
  <si>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</si>
  <si>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</si>
  <si>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</si>
  <si>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</si>
  <si>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</si>
  <si>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</si>
  <si>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</si>
  <si>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</si>
  <si>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</si>
  <si>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</si>
  <si>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</si>
  <si>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</si>
  <si>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</si>
  <si>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</si>
  <si>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</si>
  <si>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</si>
  <si>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</si>
  <si>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</si>
  <si>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</si>
  <si>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</si>
  <si>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</si>
  <si>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</si>
  <si>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</si>
  <si>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</si>
  <si>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</si>
  <si>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</si>
  <si>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</si>
  <si>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</si>
  <si>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</si>
  <si>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</si>
  <si>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</si>
  <si>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</si>
  <si>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</si>
  <si>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</si>
  <si>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</si>
  <si>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</si>
  <si>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</si>
  <si>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</si>
  <si>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</si>
  <si>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</si>
  <si>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</si>
  <si>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</si>
  <si>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</si>
  <si>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</si>
  <si>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</si>
  <si>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</si>
  <si>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</si>
  <si>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</si>
  <si>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</si>
  <si>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</si>
  <si>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</si>
  <si>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</si>
  <si>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</si>
  <si>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</si>
  <si>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</si>
  <si>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</si>
  <si>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</si>
  <si>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</si>
  <si>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</si>
  <si>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</si>
  <si>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</si>
  <si>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</si>
  <si>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</si>
  <si>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</si>
  <si>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</si>
  <si>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</si>
  <si>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</si>
  <si>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</si>
  <si>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</si>
  <si>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</si>
  <si>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</si>
  <si>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</si>
  <si>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</si>
  <si>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</si>
  <si>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</si>
  <si>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</si>
  <si>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</si>
  <si>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</si>
  <si>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</si>
  <si>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</si>
  <si>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</si>
  <si>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</si>
  <si>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</si>
  <si>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</si>
  <si>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</si>
  <si>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</si>
  <si>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</si>
  <si>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</si>
  <si>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</si>
  <si>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</si>
  <si>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</si>
  <si>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</si>
  <si>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</si>
  <si>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</si>
  <si>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</si>
  <si>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</si>
  <si>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</si>
  <si>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</si>
  <si>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</si>
  <si>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</si>
  <si>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</si>
  <si>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</si>
  <si>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</si>
  <si>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</si>
  <si>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</si>
  <si>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</si>
  <si>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</si>
  <si>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</si>
  <si>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</si>
  <si>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</si>
  <si>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</si>
  <si>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</si>
  <si>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</si>
  <si>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</si>
  <si>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</si>
  <si>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</si>
  <si>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</si>
  <si>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</si>
  <si>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</si>
  <si>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</si>
  <si>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</si>
  <si>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</si>
  <si>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</si>
  <si>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</si>
  <si>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</si>
  <si>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</si>
  <si>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</si>
  <si>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</si>
  <si>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</si>
  <si>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</si>
  <si>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</si>
  <si>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</si>
  <si>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t>AuswahlGesamt</t>
  </si>
  <si>
    <t>AktionlisteGesamt</t>
  </si>
  <si>
    <t>FansatzlisteGesamt</t>
  </si>
  <si>
    <t>Frau</t>
  </si>
  <si>
    <t>nicht förderfähig im Sinne des ESF</t>
  </si>
  <si>
    <t>siehe  "Anmerkungen Beratung"</t>
  </si>
  <si>
    <t>TN-Plätze</t>
  </si>
  <si>
    <t>Pachsekurz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</si>
  <si>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</si>
  <si>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</si>
  <si>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</si>
  <si>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</si>
  <si>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</si>
  <si>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</si>
  <si>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</si>
  <si>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</si>
  <si>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</si>
  <si>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</si>
  <si>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</si>
  <si>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</si>
  <si>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</si>
  <si>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</si>
  <si>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</si>
  <si>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</si>
  <si>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</si>
  <si>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</si>
  <si>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</si>
  <si>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</si>
  <si>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</si>
  <si>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</si>
  <si>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</si>
  <si>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</si>
  <si>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</si>
  <si>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</si>
  <si>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</si>
  <si>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</si>
  <si>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</si>
  <si>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</si>
  <si>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</si>
  <si>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</si>
  <si>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</si>
  <si>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</si>
  <si>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Legende Prio 0</t>
  </si>
  <si>
    <t>Ent-scheid-ung</t>
  </si>
  <si>
    <t>Prio-vor-schlag</t>
  </si>
  <si>
    <t>Bewer-tungs-vor-schlag</t>
  </si>
  <si>
    <t>fehl.Kofi</t>
  </si>
  <si>
    <t>Zukunftsfähige Arbeit</t>
  </si>
  <si>
    <t>Eingang Neue Fassung</t>
  </si>
  <si>
    <t>neufass</t>
  </si>
  <si>
    <t>Aktive Kofinanzierung</t>
  </si>
  <si>
    <t>Perspektiven eröffnen</t>
  </si>
  <si>
    <t>Erläuterung für Entscheidung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</si>
  <si>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</si>
  <si>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</si>
  <si>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</si>
  <si>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</si>
  <si>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</si>
  <si>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</si>
  <si>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</si>
  <si>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</si>
  <si>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</si>
  <si>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</si>
  <si>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</si>
  <si>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6</t>
  </si>
  <si>
    <t>7</t>
  </si>
  <si>
    <t>8</t>
  </si>
  <si>
    <t>Auswahl45</t>
  </si>
  <si>
    <t>Kosten ges.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</si>
  <si>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</si>
  <si>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</si>
  <si>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</si>
  <si>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</si>
  <si>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</si>
  <si>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</si>
  <si>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</si>
  <si>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</si>
  <si>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</si>
  <si>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</si>
  <si>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Projekt-/QualifizierungsinhalteZiele</t>
  </si>
  <si>
    <t>Projektstruktur,-phasen, ztl. Ablauf, auch teilnehmerbezogen, Methodik</t>
  </si>
  <si>
    <t>Messung und Dokumentation Ergebnisindikatorik</t>
  </si>
  <si>
    <t>anspranrede</t>
  </si>
  <si>
    <t>Ansprechpartner Name</t>
  </si>
  <si>
    <t>Ansprechpartner Vorname</t>
  </si>
  <si>
    <t>ansprname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</si>
  <si>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</si>
  <si>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</si>
  <si>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</si>
  <si>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</si>
  <si>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</si>
  <si>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</si>
  <si>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</si>
  <si>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</si>
  <si>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mb1jahr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</si>
  <si>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</si>
  <si>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</si>
  <si>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</si>
  <si>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</si>
  <si>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</si>
  <si>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Mittel MB-Institution</t>
  </si>
  <si>
    <t>Mittel Justizministerium-Institution</t>
  </si>
  <si>
    <t>Mittel MWVLW-Institution</t>
  </si>
  <si>
    <t>Mittel Jobcenter-Institution</t>
  </si>
  <si>
    <t>Zuschuss von Unternehmen-Institution</t>
  </si>
  <si>
    <t>ltgtitel</t>
  </si>
  <si>
    <t>ltganrede</t>
  </si>
  <si>
    <t>mbges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</si>
  <si>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</si>
  <si>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</si>
  <si>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</si>
  <si>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</si>
  <si>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</si>
  <si>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</si>
  <si>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</si>
  <si>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</si>
  <si>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</si>
  <si>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</si>
  <si>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</si>
  <si>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</si>
  <si>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</si>
  <si>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</si>
  <si>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</si>
  <si>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</si>
  <si>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</si>
  <si>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</si>
  <si>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</si>
  <si>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</si>
  <si>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</si>
  <si>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>Entgeltfortzahlung (Pauschalierung)</t>
  </si>
  <si>
    <t>Gesamtkosten abzgl. passive Kofinanzierung</t>
  </si>
  <si>
    <t>Erläuterung  der Stundenkalkulation (Kurseinheiten + weitere Stunden)</t>
  </si>
  <si>
    <t>Kosten-pauschale ges.</t>
  </si>
  <si>
    <t>Vorprojekt Nr</t>
  </si>
  <si>
    <t>vorprojnr</t>
  </si>
  <si>
    <t>E-mail</t>
  </si>
  <si>
    <t>Spenden-Institution</t>
  </si>
  <si>
    <t>Bundesagentur für Arbeit-E-Mail</t>
  </si>
  <si>
    <t>Mittel MB-E-Mail</t>
  </si>
  <si>
    <t>Mittel Justizministerium-E-Mail</t>
  </si>
  <si>
    <t>Mittel MWVLW-E-Mail</t>
  </si>
  <si>
    <t>Andere Landesmittel-E-Mail</t>
  </si>
  <si>
    <t>kommunale Mittel-E-Mail</t>
  </si>
  <si>
    <t>Mittel Jobcenter-E-Mail</t>
  </si>
  <si>
    <t>Sonstige öffentliche Mittel-E-Mail</t>
  </si>
  <si>
    <t>Zuschuss von Unternehmen-E-Mail</t>
  </si>
  <si>
    <t>Spenden-E-Mail</t>
  </si>
  <si>
    <t>Auflagen</t>
  </si>
  <si>
    <t>Mittel BM</t>
  </si>
  <si>
    <t>Mittel JM</t>
  </si>
  <si>
    <t>Pauschale für Leistungseinheit</t>
  </si>
  <si>
    <t>Summe Pauschale</t>
  </si>
  <si>
    <t>Kostenkalkulation</t>
  </si>
  <si>
    <t>Anzahl Leistungs-einheiten</t>
  </si>
  <si>
    <t xml:space="preserve">AnsprechpartnerIn/ Tel. </t>
  </si>
  <si>
    <t>Mittel MB-AnsprechpartnerIn/ Tel.</t>
  </si>
  <si>
    <t>Mittel Justizministerium-AnsprechpartnerIn/ Tel.</t>
  </si>
  <si>
    <t>Mittel MWVLW-AnsprechpartnerIn/ Tel.</t>
  </si>
  <si>
    <t>Andere Landesmittel-AnsprechpartnerIn/ Tel.</t>
  </si>
  <si>
    <t>kommunale Mittel-AnsprechpartnerIn/ Tel.</t>
  </si>
  <si>
    <t>Mittel Jobcenter-AnsprechpartnerIn/ Tel.</t>
  </si>
  <si>
    <t>Sonstige öffentliche Mittel-AnsprechpartnerIn/ Tel.</t>
  </si>
  <si>
    <t>Zuschuss von Unternehmen-AnsprechpartnerIn/Tel.</t>
  </si>
  <si>
    <t>Spenden-AnsprechpartnerIn/ Tel.</t>
  </si>
  <si>
    <t>Bundesagentur für Arbeit-AnsprechpartnerIn/ Tel.</t>
  </si>
  <si>
    <t>ESF2Jahr</t>
  </si>
  <si>
    <t>Kost2Jahr</t>
  </si>
  <si>
    <t>mb2jahr</t>
  </si>
  <si>
    <t>mj2jahr</t>
  </si>
  <si>
    <t>mwvlw2jahr</t>
  </si>
  <si>
    <t>jobcenter2jahr</t>
  </si>
  <si>
    <t>kom2jahr</t>
  </si>
  <si>
    <t>andland2jahr</t>
  </si>
  <si>
    <t>sstgoeffentl2jahr</t>
  </si>
  <si>
    <t>zuschussuntern2jahr</t>
  </si>
  <si>
    <t>tnentgelt2jahr</t>
  </si>
  <si>
    <t>Andreas Schneider</t>
  </si>
  <si>
    <t>Andrea Colling-Engel</t>
  </si>
  <si>
    <t>ACE</t>
  </si>
  <si>
    <t>AS</t>
  </si>
  <si>
    <t>Kontakte/ Kooperationen/Ö-Arbeit</t>
  </si>
  <si>
    <t>BS</t>
  </si>
  <si>
    <t>Mittel MASTD</t>
  </si>
  <si>
    <t>Mittel MFFKI</t>
  </si>
  <si>
    <t>Mittel MWG</t>
  </si>
  <si>
    <t>Mittel MKUEM</t>
  </si>
  <si>
    <t>Vulkaneifelkreis</t>
  </si>
  <si>
    <t>Mittel MFFKI-Institution</t>
  </si>
  <si>
    <t>Mittel MFFKI-AnsprechpartnerIn/ Tel.</t>
  </si>
  <si>
    <t>Mittel MFFKI-E-Mail</t>
  </si>
  <si>
    <t>Mittel MWG-Institution</t>
  </si>
  <si>
    <t>Mittel MWG-AnsprechpartnerIn/ Tel.</t>
  </si>
  <si>
    <t>Mittel MWG-E-Mail</t>
  </si>
  <si>
    <t>Mittel MKUEM-Institution</t>
  </si>
  <si>
    <t>Mittel MKUEM-AnsprechpartnerIn/ Tel.</t>
  </si>
  <si>
    <t>Mittel MKUEM-E-Mail</t>
  </si>
  <si>
    <t>MFFKI</t>
  </si>
  <si>
    <t>MWG</t>
  </si>
  <si>
    <t>MASTD gesamt</t>
  </si>
  <si>
    <t>mastdges</t>
  </si>
  <si>
    <t>mastd1Jahr</t>
  </si>
  <si>
    <t>mastd2Jahr</t>
  </si>
  <si>
    <t>mkuemges</t>
  </si>
  <si>
    <t>mkuem1jahr</t>
  </si>
  <si>
    <t>mkuem2jahr</t>
  </si>
  <si>
    <t>MKuem gesamt</t>
  </si>
  <si>
    <t>ueregion</t>
  </si>
  <si>
    <t>mffki2jahre</t>
  </si>
  <si>
    <t>mffki1jahr</t>
  </si>
  <si>
    <t>mwgges</t>
  </si>
  <si>
    <t>mwg1jahr</t>
  </si>
  <si>
    <t>mwg2jahr</t>
  </si>
  <si>
    <t>MWG gesamt</t>
  </si>
  <si>
    <t>MFFKI gesamt</t>
  </si>
  <si>
    <t>Assistierte Ausbildung in der Krankenpflege</t>
  </si>
  <si>
    <t>Beratungsstellen "Neue Chancen +"</t>
  </si>
  <si>
    <t>Berufsbegleitende Studiengänge</t>
  </si>
  <si>
    <t>Jobaction</t>
  </si>
  <si>
    <t>Jugendberufsagenturen plus</t>
  </si>
  <si>
    <t>Mathe Mint+</t>
  </si>
  <si>
    <t>Mentoring Mint</t>
  </si>
  <si>
    <t>Unterstützung von Transformationsprozessen</t>
  </si>
  <si>
    <t>außerhalb von Rahmenbedingungen</t>
  </si>
  <si>
    <t>Begünstigter</t>
  </si>
  <si>
    <t>Einordnung in das Programm des ESF+</t>
  </si>
  <si>
    <t>Spezifisches Ziel</t>
  </si>
  <si>
    <t xml:space="preserve"> </t>
  </si>
  <si>
    <t xml:space="preserve">Die Teilnehmenden leben und/oder arbeiten in Rheinland-Pfalz. </t>
  </si>
  <si>
    <t>.</t>
  </si>
  <si>
    <t>Erwerbstätige, Nichterwerbstätige, Arbeitslose</t>
  </si>
  <si>
    <t>davon nichtbinär</t>
  </si>
  <si>
    <t>ESF+</t>
  </si>
  <si>
    <t>ESF+ - Mittel</t>
  </si>
  <si>
    <t>Angaben zum Begünstigten</t>
  </si>
  <si>
    <t>ok</t>
  </si>
  <si>
    <t>ESF+ Mittel</t>
  </si>
  <si>
    <t>Tnnichtbinär</t>
  </si>
  <si>
    <t>Spez. Ziel</t>
  </si>
  <si>
    <t>ESF+-Mittel gesamt</t>
  </si>
  <si>
    <t>mffkiges</t>
  </si>
  <si>
    <t>tngebühren2jahr</t>
  </si>
  <si>
    <t>Interventionsgrad ESF+</t>
  </si>
  <si>
    <t>SOB</t>
  </si>
  <si>
    <t>TN nicht-binär</t>
  </si>
  <si>
    <t>davon nicht-binär</t>
  </si>
  <si>
    <t>MASTD</t>
  </si>
  <si>
    <t>Mittel MASTD-Institution</t>
  </si>
  <si>
    <t>Mittel MASTD-AnsprechpartnerIn/ Tel.</t>
  </si>
  <si>
    <t>Mittel MASTD-E-Mail</t>
  </si>
  <si>
    <t>JM gesamt</t>
  </si>
  <si>
    <t>BM gesamt</t>
  </si>
  <si>
    <t>Ü-region</t>
  </si>
  <si>
    <t>bei wd:</t>
  </si>
  <si>
    <t>EurekaRLP Plus-Projektnummer Vorprojekt</t>
  </si>
  <si>
    <t>Zustimmung Grundrechtecharta</t>
  </si>
  <si>
    <t>Chartaauswahl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</si>
  <si>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</si>
  <si>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eurekanr</t>
  </si>
  <si>
    <t>Liegt die Akkreditierung für den ESF+ Rheinland-Pfalz vor?</t>
  </si>
  <si>
    <t>Erhöhung der Schriftsprachkompetenz</t>
  </si>
  <si>
    <t>Das Modul "Europa und ich" wird im Projekt zielgruppenorientiert aufbereitet und vermittelt.</t>
  </si>
  <si>
    <t xml:space="preserve"> Bereichsübergreifende Grundsätze</t>
  </si>
  <si>
    <t>Chancengleichheit und Nichtdiskriminierung</t>
  </si>
  <si>
    <t>Transnationale Zusammenarbeit</t>
  </si>
  <si>
    <t>Nachhaltige Entwicklung</t>
  </si>
  <si>
    <t>Gleichstellungsauswahl</t>
  </si>
  <si>
    <t>Nichtdiskriminierungsauswahl</t>
  </si>
  <si>
    <t>Nachhaltigkeitauswahl</t>
  </si>
  <si>
    <t>Bereichsübergreifende Grundsätze</t>
  </si>
  <si>
    <t>Gleichstellung der Geschlechter</t>
  </si>
  <si>
    <t>Chancengleichheit u.Nichtdiskrim.</t>
  </si>
  <si>
    <t>ESO 4.7 Förderung des lebenslangen Lernens</t>
  </si>
  <si>
    <t>Das Projekt bietet Inhalte zum Umgang mit Geld.</t>
  </si>
  <si>
    <t>Umgang mit Geld</t>
  </si>
  <si>
    <t>Auswahl "Umgang mit Geld"</t>
  </si>
  <si>
    <t>Westerwaldkreis</t>
  </si>
  <si>
    <t>Jobcenter</t>
  </si>
  <si>
    <t>jobcenter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</si>
  <si>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</si>
  <si>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</si>
  <si>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</si>
  <si>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</si>
  <si>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</si>
  <si>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</si>
  <si>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</si>
  <si>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</si>
  <si>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</si>
  <si>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</si>
  <si>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</si>
  <si>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</si>
  <si>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</si>
  <si>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</si>
  <si>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</si>
  <si>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</si>
  <si>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</si>
  <si>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</si>
  <si>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</si>
  <si>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</si>
  <si>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</si>
  <si>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</si>
  <si>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</si>
  <si>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</si>
  <si>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</si>
  <si>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</si>
  <si>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</si>
  <si>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</si>
  <si>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</si>
  <si>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Vulkaneifel</t>
  </si>
  <si>
    <t>JC Westerwald</t>
  </si>
  <si>
    <t>JC Worms</t>
  </si>
  <si>
    <t>JC Zweibrücken</t>
  </si>
  <si>
    <t>Stärker entwickelte Regionen/SER</t>
  </si>
  <si>
    <t>Übergangsregion/ÜR</t>
  </si>
  <si>
    <t>Donnersbergkreis</t>
  </si>
  <si>
    <t>Eifelkreis Bitburg-Prüm</t>
  </si>
  <si>
    <t xml:space="preserve">Bitte füllen Sie die Finanzierungstabelle aus! 
Achten Sie darauf, dass die Summe "Gesamtsumme" im Finanzierungsplan mit  der "Summe Pauschale" übereinstimmt!
Der ESF+- Interventionsgrad beträgt in der Übergangsregion/ÜR höchstens  60%.
Im restlichen Rheinland-Pfalz/SER sind höchstens 40% möglich! </t>
  </si>
  <si>
    <t>Förderung der Gleichstellung der Geschlechter</t>
  </si>
  <si>
    <t>ESO 4.6 Förderung des gleichberechtigten Zugangs zu hochwertiger und inklusiver allgemeiner und beruflicher Bildung</t>
  </si>
  <si>
    <t>ESO 4.8 Aktive Inklusion und Erhöhung der Beschäftigungsfähigkeit</t>
  </si>
  <si>
    <t>Ansprechperson zu diesem Projekt</t>
  </si>
  <si>
    <t>Regionale Bedarfslage/Ausgangssituation Zielgruppe (maximal 2.400 Zeichen)</t>
  </si>
  <si>
    <t>Projekt-/Qualifizierungsinhalte, Ziele (maximal 3.000 Zeichen)</t>
  </si>
  <si>
    <t>Projektstruktur/-phasen, zeitl. Ablauf, auch teilnehmerbezogen, Methodeneinsatz (max. 3.000 Zeichen)</t>
  </si>
  <si>
    <t>Messung u. Dokumentation der Ergebnisindikatorik (maximal 2.400 Zeichen)</t>
  </si>
  <si>
    <t xml:space="preserve"> Kontakte, Kooperationen und Öffentlichkeitsarbeit (maximal 1.800 Zeichen)</t>
  </si>
  <si>
    <t>Erläuterung der bereichsübergreifenden Grundsätze (maximal 1800 Zeichen)</t>
  </si>
  <si>
    <t>Projektanmeldung zum Aufruf 2026-1
Pauschalierte Förderung
Erhöhung der Schriftsprachkompetenz</t>
  </si>
  <si>
    <t>2026</t>
  </si>
  <si>
    <t>Doppelförderung</t>
  </si>
  <si>
    <t>Projektanmeldung Aufruf 2026-1 
Dokumentationsbogen</t>
  </si>
  <si>
    <t>Eingang :</t>
  </si>
  <si>
    <t xml:space="preserve">Neue Fassung vom: </t>
  </si>
  <si>
    <t>Begünstigtendaten</t>
  </si>
  <si>
    <t>Begünstigter:</t>
  </si>
  <si>
    <t xml:space="preserve">Ansprechperson: </t>
  </si>
  <si>
    <t xml:space="preserve">Tel. Nr. </t>
  </si>
  <si>
    <t>Anmeldedaten:</t>
  </si>
  <si>
    <t>Projekttitel:</t>
  </si>
  <si>
    <t>-</t>
  </si>
  <si>
    <t>Durchführungsort:</t>
  </si>
  <si>
    <t>Spezifisches Ziel:</t>
  </si>
  <si>
    <t>Förderansatz:</t>
  </si>
  <si>
    <t>Zielgruppe:</t>
  </si>
  <si>
    <t>Finanzvolumen</t>
  </si>
  <si>
    <t>Finanzierung durch</t>
  </si>
  <si>
    <t>BM</t>
  </si>
  <si>
    <t>sonstige Quelle</t>
  </si>
  <si>
    <t>absoluter Betrag</t>
  </si>
  <si>
    <t>anteiliger Wert</t>
  </si>
  <si>
    <t>Anzahl TN</t>
  </si>
  <si>
    <t>Kosten je Platz</t>
  </si>
  <si>
    <t>Kosten je TN</t>
  </si>
  <si>
    <t>Prüfergebnis</t>
  </si>
  <si>
    <t xml:space="preserve">geprüft von: </t>
  </si>
  <si>
    <t>Einordnung</t>
  </si>
  <si>
    <t>Kofinanzierung</t>
  </si>
  <si>
    <t>Empfehlung der Beratung:</t>
  </si>
  <si>
    <t xml:space="preserve">Erläuterung: </t>
  </si>
  <si>
    <t xml:space="preserve">Entscheidung des Auswahlgremiums am </t>
  </si>
  <si>
    <r>
      <rPr>
        <b/>
        <sz val="11"/>
        <rFont val="Arial"/>
        <family val="2"/>
      </rPr>
      <t>Auflagen:</t>
    </r>
    <r>
      <rPr>
        <sz val="11"/>
        <rFont val="Arial"/>
        <family val="2"/>
      </rPr>
      <t xml:space="preserve"> </t>
    </r>
  </si>
  <si>
    <t xml:space="preserve">Hinweise für die ZS: </t>
  </si>
  <si>
    <t xml:space="preserve">Endgülitge Entscheidung am </t>
  </si>
  <si>
    <t>Auflagen:</t>
  </si>
  <si>
    <t>Plausibilitätsprüfung (Einzelkriterien)</t>
  </si>
  <si>
    <t>Grundrechtecharta:</t>
  </si>
  <si>
    <t>Einordnung in Programm</t>
  </si>
  <si>
    <t>korrekt</t>
  </si>
  <si>
    <t>Erklärung bzgl. Doppelförderung</t>
  </si>
  <si>
    <t>TN aus RLP:</t>
  </si>
  <si>
    <t xml:space="preserve">Kofinanzierung bestätigt von </t>
  </si>
  <si>
    <t xml:space="preserve">Anmerkungen Beratung: </t>
  </si>
  <si>
    <t>erfüllt:</t>
  </si>
  <si>
    <t>Anmerkungen Prüfung</t>
  </si>
  <si>
    <t>unzu-reichend erhebl. Defizite</t>
  </si>
  <si>
    <t>D1: Regionale Bedarfslage/ Zielgruppe</t>
  </si>
  <si>
    <t>D3: Projektstruktur, -phasen, ztl. Ablauf, Methodeneinsatz</t>
  </si>
  <si>
    <t>D4: Ergebnisindikatorik, Dokumentation, Erfolgskontrolle</t>
  </si>
  <si>
    <t>D5: Kontakte, Kooperationen, Öffentlichkeitsarbeit</t>
  </si>
  <si>
    <t xml:space="preserve">Besonderes Merkmal
</t>
  </si>
  <si>
    <t>Verpflichtende Module vorhanden?</t>
  </si>
  <si>
    <t xml:space="preserve">Prüfergebnis: </t>
  </si>
  <si>
    <t>D2: Projekt-, Qualifizierungsinhalte, Ziele</t>
  </si>
  <si>
    <t>Auswahl bei neuem Ziel</t>
  </si>
  <si>
    <t>ESO 4.6</t>
  </si>
  <si>
    <t>ESO 4.7</t>
  </si>
  <si>
    <t>ESO 4.8</t>
  </si>
  <si>
    <t>fehlerhaft</t>
  </si>
  <si>
    <t>Prio 1</t>
  </si>
  <si>
    <t>Prio 0</t>
  </si>
  <si>
    <t>positiv unter vorbehalt</t>
  </si>
  <si>
    <t>zurückgestellt</t>
  </si>
  <si>
    <t>Akkreditierung liegt vor.</t>
  </si>
  <si>
    <t>Akkreditierungsunterlagen liegen der BS vollständig vor.</t>
  </si>
  <si>
    <t>Akkreditierungsunterlagen sind unvollständig.</t>
  </si>
  <si>
    <t>Es wurden keine Unterlagen eingereicht.</t>
  </si>
  <si>
    <t>Auswahl Module</t>
  </si>
  <si>
    <t>nein</t>
  </si>
  <si>
    <t>nicht erforderlich</t>
  </si>
  <si>
    <t>Auswahl Prüfergebnis</t>
  </si>
  <si>
    <t>Das Projekt kann empfohlen werden.</t>
  </si>
  <si>
    <t>Das Projekt kann unter Vorbehalt empfohlen werden.</t>
  </si>
  <si>
    <t>Das Projekt kann nicht empfohlen werden.</t>
  </si>
  <si>
    <t>AAK</t>
  </si>
  <si>
    <t>Ass. Ausbildung in der Krankenpflege</t>
  </si>
  <si>
    <t>BGC</t>
  </si>
  <si>
    <t>Bedarfsgemeinschaftscoaching</t>
  </si>
  <si>
    <t>NC</t>
  </si>
  <si>
    <t>Neue Chancen+</t>
  </si>
  <si>
    <t>Entw. berufsbegl. Studiengänge</t>
  </si>
  <si>
    <t>ES</t>
  </si>
  <si>
    <t>Erhöhung Schriftsprachkompetenz</t>
  </si>
  <si>
    <t>FZ</t>
  </si>
  <si>
    <t>Frauen aktiv in die Zukunft</t>
  </si>
  <si>
    <t>JA - Test</t>
  </si>
  <si>
    <t>JBA+</t>
  </si>
  <si>
    <t>PE+</t>
  </si>
  <si>
    <t>Perspektiven eröffnen plus</t>
  </si>
  <si>
    <t>SM</t>
  </si>
  <si>
    <t>Sprachmittlung</t>
  </si>
  <si>
    <t>TB</t>
  </si>
  <si>
    <t>Transformationsbegleitung</t>
  </si>
  <si>
    <t>VA</t>
  </si>
  <si>
    <t>außerhalb</t>
  </si>
  <si>
    <t>Aufgabe</t>
  </si>
  <si>
    <t>erledigt</t>
  </si>
  <si>
    <t>durch</t>
  </si>
  <si>
    <t>am</t>
  </si>
  <si>
    <t>Übertragung neuerDokubogen</t>
  </si>
  <si>
    <t>Anmeldebogen</t>
  </si>
  <si>
    <t>Notizen an Aufruf 2026-1 anpassen</t>
  </si>
  <si>
    <t>Funktion Bewertung Punkte gangbar gemacht</t>
  </si>
  <si>
    <t>Sh</t>
  </si>
  <si>
    <t>Automat. Eintrag ÜR/SER angepasst S.1</t>
  </si>
  <si>
    <t>S.1 Einordnung Übertrag aus S.2 korrigiert</t>
  </si>
  <si>
    <t>Auszufüllende Felder matt unterlegt</t>
  </si>
  <si>
    <t>Notiz zu Förderpauschale angepasst</t>
  </si>
  <si>
    <t>Straße, Hausnummer</t>
  </si>
  <si>
    <t>JC Vorderpfalz/ Ludwigshafen</t>
  </si>
  <si>
    <t>Notiz für Dropdown Jobcenter eingefügt</t>
  </si>
  <si>
    <t>Für das angemeldete Projekt wurde keine Förderung aus einem anderen Programm eines europäischen Struktur- und Investitionsfonds (ESF+, EFRE; ELER, EFF) beantragt. Zudem wurde das Projekt nicht auch zur Förderung durch das ESF+-Programm des Bundes oder durch sonstige EU-Mittel angemeldet. Das Gleiche gilt für Anmeldungen des Projekts in anderen (nationalen) Förderprogrammen, z.B. des Bundes. Davon ausgenommen sind die im jeweiligen Finanzierungsplan der Projekte angegebenen nationalen Kofinanzierungen</t>
  </si>
  <si>
    <t>Aufruf 2026-1</t>
  </si>
  <si>
    <t>Namensmanager</t>
  </si>
  <si>
    <t>Namen ohne Bezug gelöscht</t>
  </si>
  <si>
    <t>Auswahl Doppelförderung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</si>
</sst>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"/>
    <numFmt numFmtId="166" formatCode="dd/mm/yy;@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color indexed="8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71D3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0" fontId="39" fillId="0" borderId="0" applyNumberFormat="0" applyFill="0" applyBorder="0" applyAlignment="0" applyProtection="0"/>
  </cellStyleXfs>
  <cellXfs count="709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6" fontId="0" fillId="0" borderId="0" xfId="0" applyNumberFormat="1"/>
    <xf numFmtId="1" fontId="0" fillId="0" borderId="0" xfId="0" applyNumberFormat="1"/>
    <xf numFmtId="0" fontId="0" fillId="0" borderId="12" xfId="0" applyBorder="1"/>
    <xf numFmtId="2" fontId="0" fillId="0" borderId="0" xfId="0" applyNumberFormat="1" applyAlignment="1">
      <alignment horizontal="left"/>
    </xf>
    <xf numFmtId="166" fontId="2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left" wrapText="1"/>
    </xf>
    <xf numFmtId="166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0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6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7" fillId="0" borderId="17" xfId="0" applyFont="1" applyBorder="1" applyAlignment="1">
      <alignment wrapText="1"/>
    </xf>
    <xf numFmtId="0" fontId="17" fillId="0" borderId="15" xfId="0" applyFont="1" applyBorder="1" applyAlignment="1">
      <alignment horizontal="left"/>
    </xf>
    <xf numFmtId="0" fontId="17" fillId="0" borderId="15" xfId="0" applyFont="1" applyBorder="1"/>
    <xf numFmtId="0" fontId="0" fillId="0" borderId="2" xfId="0" applyBorder="1" applyAlignment="1">
      <alignment wrapText="1"/>
    </xf>
    <xf numFmtId="166" fontId="3" fillId="2" borderId="0" xfId="0" applyNumberFormat="1" applyFont="1" applyFill="1" applyAlignment="1">
      <alignment horizontal="left"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0" fontId="0" fillId="0" borderId="16" xfId="0" applyBorder="1" applyAlignment="1">
      <alignment wrapText="1"/>
    </xf>
    <xf numFmtId="0" fontId="17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25" fillId="0" borderId="0" xfId="0" applyFont="1"/>
    <xf numFmtId="1" fontId="2" fillId="0" borderId="0" xfId="0" quotePrefix="1" applyNumberFormat="1" applyFont="1" applyAlignment="1">
      <alignment horizontal="left" wrapText="1"/>
    </xf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2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6" fontId="1" fillId="0" borderId="0" xfId="0" applyNumberFormat="1" applyFont="1"/>
    <xf numFmtId="166" fontId="1" fillId="2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9" fontId="3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1" fontId="1" fillId="0" borderId="14" xfId="0" applyNumberFormat="1" applyFont="1" applyBorder="1" applyAlignment="1">
      <alignment horizontal="left" wrapText="1"/>
    </xf>
    <xf numFmtId="49" fontId="1" fillId="0" borderId="0" xfId="0" applyNumberFormat="1" applyFont="1" applyProtection="1">
      <protection locked="0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0" borderId="6" xfId="0" applyFont="1" applyBorder="1" applyAlignment="1">
      <alignment vertical="center"/>
    </xf>
    <xf numFmtId="2" fontId="21" fillId="1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6" fontId="21" fillId="0" borderId="5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1" fillId="0" borderId="0" xfId="0" applyFont="1"/>
    <xf numFmtId="0" fontId="21" fillId="0" borderId="0" xfId="0" applyFont="1" applyAlignment="1">
      <alignment horizontal="center"/>
    </xf>
    <xf numFmtId="0" fontId="11" fillId="0" borderId="7" xfId="0" applyFont="1" applyBorder="1" applyAlignment="1">
      <alignment vertical="top"/>
    </xf>
    <xf numFmtId="0" fontId="21" fillId="0" borderId="4" xfId="0" applyFont="1" applyBorder="1"/>
    <xf numFmtId="0" fontId="21" fillId="0" borderId="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1" fillId="0" borderId="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" fillId="5" borderId="0" xfId="0" applyFont="1" applyFill="1"/>
    <xf numFmtId="0" fontId="0" fillId="0" borderId="5" xfId="0" applyBorder="1"/>
    <xf numFmtId="0" fontId="0" fillId="0" borderId="0" xfId="0" applyAlignment="1">
      <alignment vertical="center"/>
    </xf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22" fillId="4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5" fillId="0" borderId="5" xfId="0" applyNumberFormat="1" applyFont="1" applyBorder="1"/>
    <xf numFmtId="49" fontId="3" fillId="0" borderId="5" xfId="0" applyNumberFormat="1" applyFont="1" applyBorder="1"/>
    <xf numFmtId="49" fontId="14" fillId="0" borderId="5" xfId="0" applyNumberFormat="1" applyFont="1" applyBorder="1"/>
    <xf numFmtId="49" fontId="3" fillId="0" borderId="6" xfId="0" applyNumberFormat="1" applyFont="1" applyBorder="1"/>
    <xf numFmtId="49" fontId="13" fillId="0" borderId="0" xfId="0" applyNumberFormat="1" applyFont="1" applyAlignment="1">
      <alignment horizont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1" fillId="0" borderId="0" xfId="0" applyNumberFormat="1" applyFont="1"/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0" fillId="0" borderId="3" xfId="0" applyNumberFormat="1" applyBorder="1"/>
    <xf numFmtId="49" fontId="23" fillId="0" borderId="0" xfId="0" applyNumberFormat="1" applyFont="1"/>
    <xf numFmtId="49" fontId="19" fillId="0" borderId="2" xfId="0" applyNumberFormat="1" applyFont="1" applyBorder="1" applyAlignment="1">
      <alignment horizontal="left"/>
    </xf>
    <xf numFmtId="49" fontId="19" fillId="0" borderId="8" xfId="0" applyNumberFormat="1" applyFont="1" applyBorder="1"/>
    <xf numFmtId="49" fontId="19" fillId="0" borderId="5" xfId="0" applyNumberFormat="1" applyFont="1" applyBorder="1"/>
    <xf numFmtId="49" fontId="19" fillId="0" borderId="0" xfId="0" applyNumberFormat="1" applyFont="1" applyAlignment="1">
      <alignment horizontal="left"/>
    </xf>
    <xf numFmtId="49" fontId="19" fillId="0" borderId="0" xfId="0" applyNumberFormat="1" applyFont="1"/>
    <xf numFmtId="49" fontId="19" fillId="0" borderId="3" xfId="0" applyNumberFormat="1" applyFont="1" applyBorder="1"/>
    <xf numFmtId="49" fontId="23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horizontal="left"/>
    </xf>
    <xf numFmtId="49" fontId="19" fillId="0" borderId="6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2" xfId="0" applyNumberFormat="1" applyFont="1" applyBorder="1"/>
    <xf numFmtId="49" fontId="2" fillId="0" borderId="0" xfId="0" applyNumberFormat="1" applyFont="1"/>
    <xf numFmtId="49" fontId="14" fillId="0" borderId="2" xfId="0" applyNumberFormat="1" applyFont="1" applyBorder="1"/>
    <xf numFmtId="49" fontId="0" fillId="0" borderId="4" xfId="0" applyNumberFormat="1" applyBorder="1"/>
    <xf numFmtId="49" fontId="3" fillId="0" borderId="4" xfId="0" applyNumberFormat="1" applyFont="1" applyBorder="1"/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horizontal="left" vertical="top"/>
    </xf>
    <xf numFmtId="0" fontId="27" fillId="4" borderId="5" xfId="0" applyFont="1" applyFill="1" applyBorder="1"/>
    <xf numFmtId="0" fontId="27" fillId="4" borderId="6" xfId="0" applyFont="1" applyFill="1" applyBorder="1"/>
    <xf numFmtId="0" fontId="9" fillId="0" borderId="8" xfId="0" applyFont="1" applyBorder="1"/>
    <xf numFmtId="49" fontId="9" fillId="0" borderId="6" xfId="0" applyNumberFormat="1" applyFont="1" applyBorder="1"/>
    <xf numFmtId="49" fontId="3" fillId="0" borderId="2" xfId="0" quotePrefix="1" applyNumberFormat="1" applyFont="1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27" fillId="4" borderId="4" xfId="0" applyFont="1" applyFill="1" applyBorder="1"/>
    <xf numFmtId="0" fontId="27" fillId="4" borderId="11" xfId="0" applyFont="1" applyFill="1" applyBorder="1"/>
    <xf numFmtId="49" fontId="3" fillId="0" borderId="2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49" fontId="11" fillId="0" borderId="8" xfId="0" applyNumberFormat="1" applyFont="1" applyBorder="1" applyAlignment="1">
      <alignment horizontal="left"/>
    </xf>
    <xf numFmtId="49" fontId="9" fillId="4" borderId="5" xfId="0" applyNumberFormat="1" applyFont="1" applyFill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right"/>
    </xf>
    <xf numFmtId="49" fontId="18" fillId="0" borderId="2" xfId="0" applyNumberFormat="1" applyFont="1" applyBorder="1" applyAlignment="1">
      <alignment horizontal="left"/>
    </xf>
    <xf numFmtId="49" fontId="18" fillId="0" borderId="0" xfId="0" quotePrefix="1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49" fontId="18" fillId="0" borderId="0" xfId="0" applyNumberFormat="1" applyFont="1"/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1" applyNumberFormat="1" applyFont="1"/>
    <xf numFmtId="49" fontId="3" fillId="0" borderId="0" xfId="0" quotePrefix="1" applyNumberFormat="1" applyFont="1"/>
    <xf numFmtId="49" fontId="3" fillId="0" borderId="8" xfId="0" applyNumberFormat="1" applyFont="1" applyBorder="1" applyAlignment="1">
      <alignment horizontal="right"/>
    </xf>
    <xf numFmtId="49" fontId="2" fillId="0" borderId="0" xfId="0" quotePrefix="1" applyNumberFormat="1" applyFont="1" applyAlignment="1">
      <alignment horizontal="center"/>
    </xf>
    <xf numFmtId="49" fontId="3" fillId="0" borderId="7" xfId="0" applyNumberFormat="1" applyFont="1" applyBorder="1"/>
    <xf numFmtId="3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 textRotation="90"/>
    </xf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26" fillId="0" borderId="0" xfId="0" applyNumberFormat="1" applyFont="1" applyAlignment="1">
      <alignment horizontal="center"/>
    </xf>
    <xf numFmtId="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left"/>
    </xf>
    <xf numFmtId="49" fontId="15" fillId="0" borderId="0" xfId="0" applyNumberFormat="1" applyFont="1"/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4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21" fillId="0" borderId="3" xfId="0" applyNumberFormat="1" applyFont="1" applyBorder="1"/>
    <xf numFmtId="49" fontId="18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21" fillId="0" borderId="5" xfId="0" applyNumberFormat="1" applyFont="1" applyBorder="1"/>
    <xf numFmtId="49" fontId="9" fillId="0" borderId="8" xfId="0" applyNumberFormat="1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49" fontId="2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9" fontId="21" fillId="0" borderId="20" xfId="0" applyNumberFormat="1" applyFont="1" applyBorder="1"/>
    <xf numFmtId="0" fontId="0" fillId="0" borderId="20" xfId="0" applyBorder="1"/>
    <xf numFmtId="49" fontId="21" fillId="0" borderId="12" xfId="0" applyNumberFormat="1" applyFont="1" applyBorder="1"/>
    <xf numFmtId="0" fontId="0" fillId="0" borderId="12" xfId="0" applyBorder="1"/>
    <xf numFmtId="49" fontId="2" fillId="0" borderId="0" xfId="0" applyNumberFormat="1" applyFont="1"/>
    <xf numFmtId="9" fontId="3" fillId="3" borderId="8" xfId="0" applyNumberFormat="1" applyFont="1" applyFill="1" applyBorder="1" applyAlignment="1">
      <alignment vertical="center"/>
    </xf>
    <xf numFmtId="9" fontId="0" fillId="0" borderId="6" xfId="0" applyNumberFormat="1" applyBorder="1" applyAlignment="1">
      <alignment vertical="center"/>
    </xf>
    <xf numFmtId="9" fontId="0" fillId="0" borderId="7" xfId="0" applyNumberFormat="1" applyBorder="1" applyAlignment="1">
      <alignment vertical="center"/>
    </xf>
    <xf numFmtId="9" fontId="0" fillId="0" borderId="11" xfId="0" applyNumberFormat="1" applyBorder="1" applyAlignment="1">
      <alignment vertical="center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2" fillId="0" borderId="10" xfId="0" applyNumberFormat="1" applyFont="1" applyBorder="1" applyAlignment="1">
      <alignment horizontal="center" vertical="center" wrapText="1"/>
    </xf>
    <xf numFmtId="49" fontId="0" fillId="0" borderId="20" xfId="0" applyNumberFormat="1" applyBorder="1"/>
    <xf numFmtId="49" fontId="21" fillId="0" borderId="8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21" fillId="0" borderId="6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top" wrapText="1"/>
      <protection locked="0"/>
    </xf>
    <xf numFmtId="0" fontId="21" fillId="0" borderId="11" xfId="0" applyFont="1" applyBorder="1" applyAlignment="1" applyProtection="1">
      <alignment vertical="top" wrapText="1"/>
      <protection locked="0"/>
    </xf>
    <xf numFmtId="49" fontId="0" fillId="0" borderId="12" xfId="0" applyNumberFormat="1" applyBorder="1"/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2" fillId="0" borderId="12" xfId="0" applyNumberFormat="1" applyFont="1" applyBorder="1" applyAlignment="1">
      <alignment horizontal="left" vertical="center"/>
    </xf>
    <xf numFmtId="49" fontId="10" fillId="0" borderId="12" xfId="0" applyNumberFormat="1" applyFont="1" applyBorder="1"/>
    <xf numFmtId="49" fontId="38" fillId="8" borderId="9" xfId="0" applyNumberFormat="1" applyFont="1" applyFill="1" applyBorder="1" applyAlignment="1">
      <alignment horizontal="left" vertical="center"/>
    </xf>
    <xf numFmtId="49" fontId="38" fillId="8" borderId="1" xfId="0" applyNumberFormat="1" applyFont="1" applyFill="1" applyBorder="1" applyAlignment="1">
      <alignment horizontal="left" vertical="center"/>
    </xf>
    <xf numFmtId="49" fontId="38" fillId="8" borderId="10" xfId="0" applyNumberFormat="1" applyFont="1" applyFill="1" applyBorder="1" applyAlignment="1">
      <alignment horizontal="left"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12" fillId="0" borderId="9" xfId="0" applyNumberFormat="1" applyFont="1" applyBorder="1"/>
    <xf numFmtId="49" fontId="12" fillId="0" borderId="1" xfId="0" applyNumberFormat="1" applyFont="1" applyBorder="1"/>
    <xf numFmtId="49" fontId="12" fillId="0" borderId="10" xfId="0" applyNumberFormat="1" applyFont="1" applyBorder="1"/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9" fontId="10" fillId="3" borderId="9" xfId="0" applyNumberFormat="1" applyFont="1" applyFill="1" applyBorder="1" applyAlignment="1">
      <alignment horizontal="center"/>
    </xf>
    <xf numFmtId="9" fontId="0" fillId="0" borderId="1" xfId="0" applyNumberFormat="1" applyBorder="1"/>
    <xf numFmtId="9" fontId="0" fillId="0" borderId="10" xfId="0" applyNumberFormat="1" applyBorder="1"/>
    <xf numFmtId="49" fontId="0" fillId="0" borderId="0" xfId="0" applyNumberFormat="1"/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6" fillId="8" borderId="9" xfId="0" applyNumberFormat="1" applyFont="1" applyFill="1" applyBorder="1" applyAlignment="1">
      <alignment horizontal="center" vertical="center"/>
    </xf>
    <xf numFmtId="49" fontId="26" fillId="8" borderId="1" xfId="0" applyNumberFormat="1" applyFont="1" applyFill="1" applyBorder="1" applyAlignment="1">
      <alignment horizontal="center" vertical="center"/>
    </xf>
    <xf numFmtId="49" fontId="26" fillId="8" borderId="10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9" fontId="18" fillId="0" borderId="12" xfId="0" applyNumberFormat="1" applyFont="1" applyBorder="1" applyAlignment="1">
      <alignment horizontal="left" vertical="center"/>
    </xf>
    <xf numFmtId="49" fontId="0" fillId="0" borderId="11" xfId="0" applyNumberFormat="1" applyBorder="1"/>
    <xf numFmtId="49" fontId="1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21" fillId="0" borderId="7" xfId="0" applyNumberFormat="1" applyFont="1" applyBorder="1" applyProtection="1">
      <protection locked="0"/>
    </xf>
    <xf numFmtId="49" fontId="21" fillId="0" borderId="4" xfId="0" applyNumberFormat="1" applyFont="1" applyBorder="1" applyProtection="1">
      <protection locked="0"/>
    </xf>
    <xf numFmtId="49" fontId="21" fillId="0" borderId="11" xfId="0" applyNumberFormat="1" applyFont="1" applyBorder="1" applyProtection="1">
      <protection locked="0"/>
    </xf>
    <xf numFmtId="49" fontId="21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35" fillId="8" borderId="7" xfId="0" applyNumberFormat="1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19" fillId="0" borderId="8" xfId="0" applyNumberFormat="1" applyFont="1" applyBorder="1" applyAlignment="1">
      <alignment horizontal="left"/>
    </xf>
    <xf numFmtId="3" fontId="5" fillId="4" borderId="9" xfId="0" applyNumberFormat="1" applyFont="1" applyFill="1" applyBorder="1" applyAlignment="1" applyProtection="1">
      <alignment vertical="center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3" fontId="5" fillId="4" borderId="10" xfId="0" applyNumberFormat="1" applyFont="1" applyFill="1" applyBorder="1" applyAlignment="1" applyProtection="1">
      <alignment vertical="center"/>
      <protection locked="0"/>
    </xf>
    <xf numFmtId="3" fontId="18" fillId="0" borderId="9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3" fillId="6" borderId="9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9" fontId="19" fillId="0" borderId="8" xfId="0" applyNumberFormat="1" applyFont="1" applyBorder="1"/>
    <xf numFmtId="49" fontId="18" fillId="0" borderId="0" xfId="0" applyNumberFormat="1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39" fillId="0" borderId="7" xfId="3" applyNumberForma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21" fillId="0" borderId="4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3" fontId="26" fillId="8" borderId="8" xfId="0" applyNumberFormat="1" applyFont="1" applyFill="1" applyBorder="1" applyAlignment="1">
      <alignment vertical="center" wrapText="1"/>
    </xf>
    <xf numFmtId="3" fontId="26" fillId="8" borderId="5" xfId="0" applyNumberFormat="1" applyFont="1" applyFill="1" applyBorder="1" applyAlignment="1">
      <alignment vertical="center" wrapText="1"/>
    </xf>
    <xf numFmtId="3" fontId="26" fillId="8" borderId="6" xfId="0" applyNumberFormat="1" applyFont="1" applyFill="1" applyBorder="1" applyAlignment="1">
      <alignment vertical="center" wrapText="1"/>
    </xf>
    <xf numFmtId="3" fontId="26" fillId="8" borderId="7" xfId="0" applyNumberFormat="1" applyFont="1" applyFill="1" applyBorder="1" applyAlignment="1">
      <alignment vertical="center" wrapText="1"/>
    </xf>
    <xf numFmtId="3" fontId="26" fillId="8" borderId="4" xfId="0" applyNumberFormat="1" applyFont="1" applyFill="1" applyBorder="1" applyAlignment="1">
      <alignment vertical="center" wrapText="1"/>
    </xf>
    <xf numFmtId="3" fontId="26" fillId="8" borderId="11" xfId="0" applyNumberFormat="1" applyFont="1" applyFill="1" applyBorder="1" applyAlignment="1">
      <alignment vertical="center" wrapText="1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3" fontId="4" fillId="3" borderId="9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18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0" fillId="0" borderId="3" xfId="0" applyBorder="1"/>
    <xf numFmtId="49" fontId="2" fillId="0" borderId="9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0" xfId="0" quotePrefix="1" applyNumberFormat="1" applyFont="1" applyBorder="1" applyAlignment="1">
      <alignment horizontal="center"/>
    </xf>
    <xf numFmtId="0" fontId="12" fillId="0" borderId="1" xfId="0" applyFont="1" applyBorder="1"/>
    <xf numFmtId="0" fontId="12" fillId="0" borderId="10" xfId="0" applyFont="1" applyBorder="1"/>
    <xf numFmtId="3" fontId="3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164" fontId="2" fillId="6" borderId="9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4" borderId="0" xfId="0" applyNumberFormat="1" applyFont="1" applyFill="1" applyAlignment="1">
      <alignment horizontal="left"/>
    </xf>
    <xf numFmtId="49" fontId="0" fillId="4" borderId="0" xfId="0" applyNumberFormat="1" applyFill="1" applyAlignment="1">
      <alignment horizontal="left"/>
    </xf>
    <xf numFmtId="1" fontId="5" fillId="0" borderId="9" xfId="0" applyNumberFormat="1" applyFont="1" applyBorder="1" applyAlignment="1" applyProtection="1">
      <alignment horizontal="right" vertical="center"/>
      <protection locked="0"/>
    </xf>
    <xf numFmtId="1" fontId="5" fillId="0" borderId="1" xfId="0" applyNumberFormat="1" applyFont="1" applyBorder="1" applyAlignment="1" applyProtection="1">
      <alignment horizontal="right" vertical="center"/>
      <protection locked="0"/>
    </xf>
    <xf numFmtId="1" fontId="5" fillId="0" borderId="10" xfId="0" applyNumberFormat="1" applyFont="1" applyBorder="1" applyAlignment="1" applyProtection="1">
      <alignment horizontal="right" vertical="center"/>
      <protection locked="0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" fillId="4" borderId="12" xfId="0" applyNumberFormat="1" applyFont="1" applyFill="1" applyBorder="1" applyAlignment="1">
      <alignment horizontal="left"/>
    </xf>
    <xf numFmtId="49" fontId="0" fillId="4" borderId="12" xfId="0" applyNumberFormat="1" applyFill="1" applyBorder="1" applyAlignment="1">
      <alignment horizontal="left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66" fontId="21" fillId="0" borderId="7" xfId="0" applyNumberFormat="1" applyFont="1" applyBorder="1" applyAlignment="1" applyProtection="1">
      <alignment horizontal="left"/>
      <protection locked="0"/>
    </xf>
    <xf numFmtId="166" fontId="21" fillId="0" borderId="4" xfId="0" applyNumberFormat="1" applyFont="1" applyBorder="1" applyAlignment="1" applyProtection="1">
      <alignment horizontal="left"/>
      <protection locked="0"/>
    </xf>
    <xf numFmtId="166" fontId="21" fillId="0" borderId="11" xfId="0" applyNumberFormat="1" applyFont="1" applyBorder="1" applyAlignment="1" applyProtection="1">
      <alignment horizontal="left"/>
      <protection locked="0"/>
    </xf>
    <xf numFmtId="49" fontId="19" fillId="0" borderId="5" xfId="0" applyNumberFormat="1" applyFont="1" applyBorder="1"/>
    <xf numFmtId="49" fontId="19" fillId="0" borderId="6" xfId="0" applyNumberFormat="1" applyFont="1" applyBorder="1"/>
    <xf numFmtId="0" fontId="0" fillId="0" borderId="4" xfId="0" applyBorder="1" applyProtection="1">
      <protection locked="0"/>
    </xf>
    <xf numFmtId="166" fontId="18" fillId="0" borderId="0" xfId="0" applyNumberFormat="1" applyFont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top"/>
    </xf>
    <xf numFmtId="0" fontId="0" fillId="0" borderId="1" xfId="0" applyBorder="1"/>
    <xf numFmtId="0" fontId="0" fillId="0" borderId="10" xfId="0" applyBorder="1"/>
    <xf numFmtId="49" fontId="9" fillId="0" borderId="8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/>
    </xf>
    <xf numFmtId="49" fontId="0" fillId="0" borderId="1" xfId="0" applyNumberFormat="1" applyBorder="1"/>
    <xf numFmtId="49" fontId="0" fillId="0" borderId="10" xfId="0" applyNumberFormat="1" applyBorder="1"/>
    <xf numFmtId="49" fontId="12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49" fontId="10" fillId="4" borderId="0" xfId="0" applyNumberFormat="1" applyFont="1" applyFill="1" applyAlignment="1">
      <alignment horizontal="left" vertical="top" wrapText="1"/>
    </xf>
    <xf numFmtId="49" fontId="10" fillId="4" borderId="0" xfId="0" applyNumberFormat="1" applyFont="1" applyFill="1" applyAlignment="1">
      <alignment horizontal="left" vertical="top"/>
    </xf>
    <xf numFmtId="0" fontId="10" fillId="4" borderId="3" xfId="0" applyFont="1" applyFill="1" applyBorder="1"/>
    <xf numFmtId="49" fontId="18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8" borderId="8" xfId="0" applyFont="1" applyFill="1" applyBorder="1" applyAlignment="1">
      <alignment vertical="top" wrapText="1"/>
    </xf>
    <xf numFmtId="0" fontId="0" fillId="8" borderId="5" xfId="0" applyFill="1" applyBorder="1"/>
    <xf numFmtId="0" fontId="0" fillId="8" borderId="6" xfId="0" applyFill="1" applyBorder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166" fontId="21" fillId="0" borderId="7" xfId="0" applyNumberFormat="1" applyFont="1" applyBorder="1" applyAlignment="1" applyProtection="1">
      <alignment horizontal="left" vertical="top"/>
      <protection locked="0"/>
    </xf>
    <xf numFmtId="166" fontId="21" fillId="0" borderId="4" xfId="0" applyNumberFormat="1" applyFont="1" applyBorder="1" applyAlignment="1" applyProtection="1">
      <alignment horizontal="left" vertical="top"/>
      <protection locked="0"/>
    </xf>
    <xf numFmtId="166" fontId="21" fillId="0" borderId="11" xfId="0" applyNumberFormat="1" applyFont="1" applyBorder="1" applyAlignment="1" applyProtection="1">
      <alignment horizontal="left" vertical="top"/>
      <protection locked="0"/>
    </xf>
    <xf numFmtId="49" fontId="39" fillId="0" borderId="7" xfId="3" applyNumberFormat="1" applyBorder="1" applyProtection="1"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49" fontId="11" fillId="0" borderId="1" xfId="0" applyNumberFormat="1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49" fontId="36" fillId="8" borderId="7" xfId="0" applyNumberFormat="1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18" fillId="0" borderId="7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49" fontId="1" fillId="4" borderId="0" xfId="0" applyNumberFormat="1" applyFont="1" applyFill="1" applyAlignment="1">
      <alignment horizontal="left"/>
    </xf>
    <xf numFmtId="49" fontId="1" fillId="0" borderId="9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3" fontId="1" fillId="3" borderId="9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3" fontId="5" fillId="7" borderId="9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5" fillId="7" borderId="10" xfId="0" applyNumberFormat="1" applyFont="1" applyFill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8" fillId="0" borderId="9" xfId="0" applyNumberFormat="1" applyFont="1" applyBorder="1"/>
    <xf numFmtId="49" fontId="18" fillId="0" borderId="1" xfId="0" applyNumberFormat="1" applyFont="1" applyBorder="1"/>
    <xf numFmtId="49" fontId="18" fillId="0" borderId="10" xfId="0" applyNumberFormat="1" applyFont="1" applyBorder="1"/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3" fillId="0" borderId="0" xfId="0" applyNumberFormat="1" applyFont="1"/>
    <xf numFmtId="49" fontId="3" fillId="0" borderId="5" xfId="0" applyNumberFormat="1" applyFont="1" applyBorder="1"/>
    <xf numFmtId="49" fontId="2" fillId="0" borderId="0" xfId="0" applyNumberFormat="1" applyFont="1" applyAlignment="1">
      <alignment horizontal="left"/>
    </xf>
    <xf numFmtId="0" fontId="21" fillId="0" borderId="9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vertical="top" wrapText="1"/>
      <protection locked="0"/>
    </xf>
    <xf numFmtId="49" fontId="1" fillId="0" borderId="9" xfId="0" applyNumberFormat="1" applyFont="1" applyBorder="1"/>
    <xf numFmtId="49" fontId="1" fillId="0" borderId="1" xfId="0" applyNumberFormat="1" applyFont="1" applyBorder="1"/>
    <xf numFmtId="49" fontId="1" fillId="0" borderId="10" xfId="0" applyNumberFormat="1" applyFont="1" applyBorder="1"/>
    <xf numFmtId="49" fontId="27" fillId="8" borderId="9" xfId="0" applyNumberFormat="1" applyFont="1" applyFill="1" applyBorder="1"/>
    <xf numFmtId="49" fontId="27" fillId="8" borderId="1" xfId="0" applyNumberFormat="1" applyFont="1" applyFill="1" applyBorder="1"/>
    <xf numFmtId="49" fontId="27" fillId="8" borderId="10" xfId="0" applyNumberFormat="1" applyFont="1" applyFill="1" applyBorder="1"/>
    <xf numFmtId="0" fontId="1" fillId="0" borderId="0" xfId="0" applyFont="1" applyAlignment="1" applyProtection="1">
      <alignment horizontal="left"/>
      <protection locked="0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4" fillId="0" borderId="16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6" fontId="21" fillId="0" borderId="0" xfId="0" applyNumberFormat="1" applyFont="1" applyAlignment="1">
      <alignment horizontal="left" vertical="center"/>
    </xf>
    <xf numFmtId="1" fontId="11" fillId="0" borderId="21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64" fontId="21" fillId="0" borderId="8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9" fontId="21" fillId="0" borderId="4" xfId="0" applyNumberFormat="1" applyFont="1" applyBorder="1" applyAlignment="1">
      <alignment vertical="center"/>
    </xf>
    <xf numFmtId="9" fontId="21" fillId="0" borderId="11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9" fontId="21" fillId="0" borderId="7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10" borderId="0" xfId="0" applyFont="1" applyFill="1" applyAlignment="1">
      <alignment vertical="center"/>
    </xf>
    <xf numFmtId="0" fontId="21" fillId="0" borderId="0" xfId="0" quotePrefix="1" applyFont="1" applyAlignment="1">
      <alignment vertical="center"/>
    </xf>
    <xf numFmtId="0" fontId="21" fillId="10" borderId="0" xfId="0" applyFont="1" applyFill="1" applyAlignment="1" applyProtection="1">
      <alignment vertical="center"/>
      <protection locked="0"/>
    </xf>
    <xf numFmtId="0" fontId="0" fillId="10" borderId="0" xfId="0" applyFill="1" applyAlignment="1" applyProtection="1">
      <alignment vertical="center"/>
      <protection locked="0"/>
    </xf>
    <xf numFmtId="0" fontId="21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1" fontId="2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21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wrapText="1"/>
    </xf>
    <xf numFmtId="0" fontId="21" fillId="0" borderId="7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166" fontId="21" fillId="0" borderId="5" xfId="0" applyNumberFormat="1" applyFont="1" applyBorder="1" applyAlignment="1">
      <alignment vertical="center"/>
    </xf>
    <xf numFmtId="0" fontId="11" fillId="10" borderId="25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10" borderId="0" xfId="0" applyFont="1" applyFill="1" applyAlignment="1">
      <alignment vertical="center"/>
    </xf>
    <xf numFmtId="49" fontId="21" fillId="0" borderId="2" xfId="0" applyNumberFormat="1" applyFont="1" applyBorder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21" fillId="0" borderId="3" xfId="0" applyNumberFormat="1" applyFont="1" applyBorder="1" applyAlignment="1">
      <alignment vertical="top" wrapText="1"/>
    </xf>
    <xf numFmtId="49" fontId="21" fillId="0" borderId="7" xfId="0" applyNumberFormat="1" applyFont="1" applyBorder="1" applyAlignment="1">
      <alignment vertical="top" wrapText="1"/>
    </xf>
    <xf numFmtId="49" fontId="21" fillId="0" borderId="4" xfId="0" applyNumberFormat="1" applyFont="1" applyBorder="1" applyAlignment="1">
      <alignment vertical="top" wrapText="1"/>
    </xf>
    <xf numFmtId="49" fontId="21" fillId="0" borderId="11" xfId="0" applyNumberFormat="1" applyFont="1" applyBorder="1" applyAlignment="1">
      <alignment vertical="top" wrapText="1"/>
    </xf>
    <xf numFmtId="14" fontId="21" fillId="0" borderId="5" xfId="0" applyNumberFormat="1" applyFont="1" applyBorder="1" applyAlignment="1">
      <alignment vertical="center"/>
    </xf>
    <xf numFmtId="0" fontId="11" fillId="10" borderId="22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10" borderId="4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2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" fontId="11" fillId="0" borderId="21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" fillId="10" borderId="3" xfId="0" applyFon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10" borderId="0" xfId="0" applyFont="1" applyFill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0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10" borderId="4" xfId="0" applyFont="1" applyFill="1" applyBorder="1" applyAlignment="1">
      <alignment vertical="center"/>
    </xf>
    <xf numFmtId="0" fontId="21" fillId="10" borderId="1" xfId="0" applyFont="1" applyFill="1" applyBorder="1" applyAlignment="1">
      <alignment vertical="center"/>
    </xf>
    <xf numFmtId="0" fontId="21" fillId="10" borderId="10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31" xfId="0" applyFont="1" applyBorder="1" applyAlignment="1">
      <alignment wrapText="1"/>
    </xf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10" xfId="0" applyFont="1" applyBorder="1"/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">
    <cellStyle name="Link" xfId="3" builtinId="8"/>
    <cellStyle name="Standard" xfId="0" builtinId="0"/>
    <cellStyle name="Standard 2" xfId="2" xr:uid="{52115003-F0E7-4D19-9FB5-9CC5B9EBB09A}"/>
    <cellStyle name="Standard_Le-2002-09-Gemeinden" xfId="1" xr:uid="{00000000-0005-0000-0000-000001000000}"/>
  </cellStyles>
  <dxfs count="31">
    <dxf>
      <fill>
        <patternFill>
          <bgColor rgb="FFFFCC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3" tint="0.39994506668294322"/>
        </patternFill>
      </fill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TNrlpauswahl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Gleichstellungs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Nichtdiskriminierungsauswahl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Nachhaltigkeitauswahl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fmlaLink="Transnationalauswahl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Auswahl!$C$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CheckBox" fmlaLink="Auswahl!$C$11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Auswahl!$C$20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EuropaIch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fmlaLink="Auswahl!$C$3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fmlaLink="Auswahl!$C$38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DOKU_Verk!$A$5:$A$7" lockText="1" noThreeD="1"/>
</file>

<file path=xl/ctrlProps/ctrlProp51.xml><?xml version="1.0" encoding="utf-8"?>
<formControlPr xmlns="http://schemas.microsoft.com/office/spreadsheetml/2009/9/main" objectType="CheckBox" fmlaLink="DOKU_Verk!$A$6" lockText="1" noThreeD="1"/>
</file>

<file path=xl/ctrlProps/ctrlProp52.xml><?xml version="1.0" encoding="utf-8"?>
<formControlPr xmlns="http://schemas.microsoft.com/office/spreadsheetml/2009/9/main" objectType="CheckBox" fmlaLink="DOKU_Verk!$A$7" lockText="1" noThreeD="1"/>
</file>

<file path=xl/ctrlProps/ctrlProp53.xml><?xml version="1.0" encoding="utf-8"?>
<formControlPr xmlns="http://schemas.microsoft.com/office/spreadsheetml/2009/9/main" objectType="CheckBox" fmlaLink="DOKU_Verk!$C$5" lockText="1" noThreeD="1"/>
</file>

<file path=xl/ctrlProps/ctrlProp54.xml><?xml version="1.0" encoding="utf-8"?>
<formControlPr xmlns="http://schemas.microsoft.com/office/spreadsheetml/2009/9/main" objectType="CheckBox" fmlaLink="DOKU_Verk!$C$6" lockText="1" noThreeD="1"/>
</file>

<file path=xl/ctrlProps/ctrlProp55.xml><?xml version="1.0" encoding="utf-8"?>
<formControlPr xmlns="http://schemas.microsoft.com/office/spreadsheetml/2009/9/main" objectType="CheckBox" fmlaLink="DOKU_Verk!$C$7" lockText="1" noThreeD="1"/>
</file>

<file path=xl/ctrlProps/ctrlProp56.xml><?xml version="1.0" encoding="utf-8"?>
<formControlPr xmlns="http://schemas.microsoft.com/office/spreadsheetml/2009/9/main" objectType="CheckBox" fmlaLink="DOKU_Verk!$E$7" lockText="1" noThreeD="1"/>
</file>

<file path=xl/ctrlProps/ctrlProp57.xml><?xml version="1.0" encoding="utf-8"?>
<formControlPr xmlns="http://schemas.microsoft.com/office/spreadsheetml/2009/9/main" objectType="CheckBox" fmlaLink="DOKU_Verk!$E$5" lockText="1" noThreeD="1"/>
</file>

<file path=xl/ctrlProps/ctrlProp58.xml><?xml version="1.0" encoding="utf-8"?>
<formControlPr xmlns="http://schemas.microsoft.com/office/spreadsheetml/2009/9/main" objectType="CheckBox" fmlaLink="DOKU_Verk!$E$6" lockText="1" noThreeD="1"/>
</file>

<file path=xl/ctrlProps/ctrlProp59.xml><?xml version="1.0" encoding="utf-8"?>
<formControlPr xmlns="http://schemas.microsoft.com/office/spreadsheetml/2009/9/main" objectType="CheckBox" fmlaLink="DOKU_Verk!$G$7" lockText="1" noThreeD="1"/>
</file>

<file path=xl/ctrlProps/ctrlProp60.xml><?xml version="1.0" encoding="utf-8"?>
<formControlPr xmlns="http://schemas.microsoft.com/office/spreadsheetml/2009/9/main" objectType="CheckBox" fmlaLink="DOKU_Verk!$G$5" lockText="1" noThreeD="1"/>
</file>

<file path=xl/ctrlProps/ctrlProp61.xml><?xml version="1.0" encoding="utf-8"?>
<formControlPr xmlns="http://schemas.microsoft.com/office/spreadsheetml/2009/9/main" objectType="CheckBox" fmlaLink="DOKU_Verk!$G$6" lockText="1" noThreeD="1"/>
</file>

<file path=xl/ctrlProps/ctrlProp62.xml><?xml version="1.0" encoding="utf-8"?>
<formControlPr xmlns="http://schemas.microsoft.com/office/spreadsheetml/2009/9/main" objectType="CheckBox" fmlaLink="DOKU_Verk!$I$5" lockText="1" noThreeD="1"/>
</file>

<file path=xl/ctrlProps/ctrlProp63.xml><?xml version="1.0" encoding="utf-8"?>
<formControlPr xmlns="http://schemas.microsoft.com/office/spreadsheetml/2009/9/main" objectType="CheckBox" fmlaLink="DOKU_Verk!$I$6" lockText="1" noThreeD="1"/>
</file>

<file path=xl/ctrlProps/ctrlProp64.xml><?xml version="1.0" encoding="utf-8"?>
<formControlPr xmlns="http://schemas.microsoft.com/office/spreadsheetml/2009/9/main" objectType="CheckBox" fmlaLink="DOKU_Verk!$I$7" lockText="1" noThreeD="1"/>
</file>

<file path=xl/ctrlProps/ctrlProp65.xml><?xml version="1.0" encoding="utf-8"?>
<formControlPr xmlns="http://schemas.microsoft.com/office/spreadsheetml/2009/9/main" objectType="CheckBox" fmlaLink="DOKU_Verk!$S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38" name="Rectangle 360">
          <a:extLst>
            <a:ext uri="{FF2B5EF4-FFF2-40B4-BE49-F238E27FC236}">
              <a16:creationId xmlns:a16="http://schemas.microsoft.com/office/drawing/2014/main" id="{00000000-0008-0000-0000-0000D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19</xdr:col>
          <xdr:colOff>19050</xdr:colOff>
          <xdr:row>36</xdr:row>
          <xdr:rowOff>228600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19</xdr:col>
          <xdr:colOff>400050</xdr:colOff>
          <xdr:row>35</xdr:row>
          <xdr:rowOff>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9525</xdr:rowOff>
        </xdr:from>
        <xdr:to>
          <xdr:col>24</xdr:col>
          <xdr:colOff>180975</xdr:colOff>
          <xdr:row>48</xdr:row>
          <xdr:rowOff>200025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47</xdr:row>
          <xdr:rowOff>38100</xdr:rowOff>
        </xdr:from>
        <xdr:to>
          <xdr:col>12</xdr:col>
          <xdr:colOff>95250</xdr:colOff>
          <xdr:row>48</xdr:row>
          <xdr:rowOff>19050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38100</xdr:rowOff>
        </xdr:from>
        <xdr:to>
          <xdr:col>15</xdr:col>
          <xdr:colOff>428625</xdr:colOff>
          <xdr:row>48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140</xdr:row>
          <xdr:rowOff>0</xdr:rowOff>
        </xdr:from>
        <xdr:to>
          <xdr:col>12</xdr:col>
          <xdr:colOff>0</xdr:colOff>
          <xdr:row>143</xdr:row>
          <xdr:rowOff>0</xdr:rowOff>
        </xdr:to>
        <xdr:sp macro="" textlink="">
          <xdr:nvSpPr>
            <xdr:cNvPr id="2417" name="chancengleichheitauswahl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140</xdr:row>
          <xdr:rowOff>95250</xdr:rowOff>
        </xdr:from>
        <xdr:to>
          <xdr:col>9</xdr:col>
          <xdr:colOff>76200</xdr:colOff>
          <xdr:row>141</xdr:row>
          <xdr:rowOff>9525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141</xdr:row>
          <xdr:rowOff>47625</xdr:rowOff>
        </xdr:from>
        <xdr:to>
          <xdr:col>9</xdr:col>
          <xdr:colOff>76200</xdr:colOff>
          <xdr:row>141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76200</xdr:rowOff>
        </xdr:from>
        <xdr:to>
          <xdr:col>9</xdr:col>
          <xdr:colOff>85725</xdr:colOff>
          <xdr:row>142</xdr:row>
          <xdr:rowOff>295275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140</xdr:row>
          <xdr:rowOff>9525</xdr:rowOff>
        </xdr:from>
        <xdr:to>
          <xdr:col>16</xdr:col>
          <xdr:colOff>9525</xdr:colOff>
          <xdr:row>142</xdr:row>
          <xdr:rowOff>314325</xdr:rowOff>
        </xdr:to>
        <xdr:sp macro="" textlink="">
          <xdr:nvSpPr>
            <xdr:cNvPr id="2421" name="nachhaltigoekoauswahl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140</xdr:row>
          <xdr:rowOff>104775</xdr:rowOff>
        </xdr:from>
        <xdr:to>
          <xdr:col>15</xdr:col>
          <xdr:colOff>152400</xdr:colOff>
          <xdr:row>141</xdr:row>
          <xdr:rowOff>9525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141</xdr:row>
          <xdr:rowOff>47625</xdr:rowOff>
        </xdr:from>
        <xdr:to>
          <xdr:col>15</xdr:col>
          <xdr:colOff>161925</xdr:colOff>
          <xdr:row>141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142</xdr:row>
          <xdr:rowOff>47625</xdr:rowOff>
        </xdr:from>
        <xdr:to>
          <xdr:col>15</xdr:col>
          <xdr:colOff>133350</xdr:colOff>
          <xdr:row>142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139</xdr:row>
          <xdr:rowOff>809625</xdr:rowOff>
        </xdr:from>
        <xdr:to>
          <xdr:col>20</xdr:col>
          <xdr:colOff>9525</xdr:colOff>
          <xdr:row>143</xdr:row>
          <xdr:rowOff>9525</xdr:rowOff>
        </xdr:to>
        <xdr:sp macro="" textlink="">
          <xdr:nvSpPr>
            <xdr:cNvPr id="2425" name="nachhaltigoeko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139</xdr:row>
          <xdr:rowOff>809625</xdr:rowOff>
        </xdr:from>
        <xdr:to>
          <xdr:col>25</xdr:col>
          <xdr:colOff>9525</xdr:colOff>
          <xdr:row>143</xdr:row>
          <xdr:rowOff>9525</xdr:rowOff>
        </xdr:to>
        <xdr:sp macro="" textlink="">
          <xdr:nvSpPr>
            <xdr:cNvPr id="2426" name="nachhaltigsozialauswahl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140</xdr:row>
          <xdr:rowOff>95250</xdr:rowOff>
        </xdr:from>
        <xdr:to>
          <xdr:col>23</xdr:col>
          <xdr:colOff>209550</xdr:colOff>
          <xdr:row>141</xdr:row>
          <xdr:rowOff>9525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141</xdr:row>
          <xdr:rowOff>38100</xdr:rowOff>
        </xdr:from>
        <xdr:to>
          <xdr:col>23</xdr:col>
          <xdr:colOff>200025</xdr:colOff>
          <xdr:row>141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142</xdr:row>
          <xdr:rowOff>66675</xdr:rowOff>
        </xdr:from>
        <xdr:to>
          <xdr:col>23</xdr:col>
          <xdr:colOff>219075</xdr:colOff>
          <xdr:row>142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140</xdr:row>
          <xdr:rowOff>76200</xdr:rowOff>
        </xdr:from>
        <xdr:to>
          <xdr:col>19</xdr:col>
          <xdr:colOff>180975</xdr:colOff>
          <xdr:row>141</xdr:row>
          <xdr:rowOff>9525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141</xdr:row>
          <xdr:rowOff>38100</xdr:rowOff>
        </xdr:from>
        <xdr:to>
          <xdr:col>19</xdr:col>
          <xdr:colOff>171450</xdr:colOff>
          <xdr:row>141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142</xdr:row>
          <xdr:rowOff>66675</xdr:rowOff>
        </xdr:from>
        <xdr:to>
          <xdr:col>19</xdr:col>
          <xdr:colOff>171450</xdr:colOff>
          <xdr:row>142</xdr:row>
          <xdr:rowOff>295275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</xdr:row>
          <xdr:rowOff>0</xdr:rowOff>
        </xdr:from>
        <xdr:to>
          <xdr:col>6</xdr:col>
          <xdr:colOff>171450</xdr:colOff>
          <xdr:row>25</xdr:row>
          <xdr:rowOff>209550</xdr:rowOff>
        </xdr:to>
        <xdr:sp macro="" textlink="">
          <xdr:nvSpPr>
            <xdr:cNvPr id="13566" name="Option Button 1278" hidden="1">
              <a:extLst>
                <a:ext uri="{63B3BB69-23CF-44E3-9099-C40C66FF867C}">
                  <a14:compatExt spid="_x0000_s13566"/>
                </a:ext>
                <a:ext uri="{FF2B5EF4-FFF2-40B4-BE49-F238E27FC236}">
                  <a16:creationId xmlns:a16="http://schemas.microsoft.com/office/drawing/2014/main" id="{00000000-0008-0000-0000-0000F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133350</xdr:colOff>
          <xdr:row>25</xdr:row>
          <xdr:rowOff>209550</xdr:rowOff>
        </xdr:to>
        <xdr:sp macro="" textlink="">
          <xdr:nvSpPr>
            <xdr:cNvPr id="13567" name="Option Button 1279" hidden="1">
              <a:extLst>
                <a:ext uri="{63B3BB69-23CF-44E3-9099-C40C66FF867C}">
                  <a14:compatExt spid="_x0000_s13567"/>
                </a:ext>
                <a:ext uri="{FF2B5EF4-FFF2-40B4-BE49-F238E27FC236}">
                  <a16:creationId xmlns:a16="http://schemas.microsoft.com/office/drawing/2014/main" id="{00000000-0008-0000-0000-0000F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209550</xdr:colOff>
      <xdr:row>0</xdr:row>
      <xdr:rowOff>66675</xdr:rowOff>
    </xdr:from>
    <xdr:to>
      <xdr:col>5</xdr:col>
      <xdr:colOff>230240</xdr:colOff>
      <xdr:row>5</xdr:row>
      <xdr:rowOff>83149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66675</xdr:rowOff>
    </xdr:from>
    <xdr:to>
      <xdr:col>24</xdr:col>
      <xdr:colOff>236891</xdr:colOff>
      <xdr:row>5</xdr:row>
      <xdr:rowOff>40474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666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27</xdr:row>
          <xdr:rowOff>295275</xdr:rowOff>
        </xdr:from>
        <xdr:to>
          <xdr:col>19</xdr:col>
          <xdr:colOff>390525</xdr:colOff>
          <xdr:row>27</xdr:row>
          <xdr:rowOff>504825</xdr:rowOff>
        </xdr:to>
        <xdr:sp macro="" textlink="">
          <xdr:nvSpPr>
            <xdr:cNvPr id="13576" name="Check Box 1288" hidden="1">
              <a:extLst>
                <a:ext uri="{63B3BB69-23CF-44E3-9099-C40C66FF867C}">
                  <a14:compatExt spid="_x0000_s13576"/>
                </a:ext>
                <a:ext uri="{FF2B5EF4-FFF2-40B4-BE49-F238E27FC236}">
                  <a16:creationId xmlns:a16="http://schemas.microsoft.com/office/drawing/2014/main" id="{00000000-0008-0000-0000-00000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148</xdr:row>
          <xdr:rowOff>161925</xdr:rowOff>
        </xdr:from>
        <xdr:to>
          <xdr:col>8</xdr:col>
          <xdr:colOff>9525</xdr:colOff>
          <xdr:row>151</xdr:row>
          <xdr:rowOff>66675</xdr:rowOff>
        </xdr:to>
        <xdr:sp macro="" textlink="">
          <xdr:nvSpPr>
            <xdr:cNvPr id="13585" name="Group Box 1297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0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149</xdr:row>
          <xdr:rowOff>95250</xdr:rowOff>
        </xdr:from>
        <xdr:to>
          <xdr:col>3</xdr:col>
          <xdr:colOff>171450</xdr:colOff>
          <xdr:row>151</xdr:row>
          <xdr:rowOff>0</xdr:rowOff>
        </xdr:to>
        <xdr:sp macro="" textlink="">
          <xdr:nvSpPr>
            <xdr:cNvPr id="13586" name="Option Button 1298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0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149</xdr:row>
          <xdr:rowOff>76200</xdr:rowOff>
        </xdr:from>
        <xdr:to>
          <xdr:col>7</xdr:col>
          <xdr:colOff>57150</xdr:colOff>
          <xdr:row>151</xdr:row>
          <xdr:rowOff>0</xdr:rowOff>
        </xdr:to>
        <xdr:sp macro="" textlink="">
          <xdr:nvSpPr>
            <xdr:cNvPr id="13587" name="Option Button 1299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0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152</xdr:row>
          <xdr:rowOff>190500</xdr:rowOff>
        </xdr:from>
        <xdr:to>
          <xdr:col>8</xdr:col>
          <xdr:colOff>19050</xdr:colOff>
          <xdr:row>155</xdr:row>
          <xdr:rowOff>9525</xdr:rowOff>
        </xdr:to>
        <xdr:sp macro="" textlink="">
          <xdr:nvSpPr>
            <xdr:cNvPr id="13588" name="Group Box 1300" hidden="1">
              <a:extLst>
                <a:ext uri="{63B3BB69-23CF-44E3-9099-C40C66FF867C}">
                  <a14:compatExt spid="_x0000_s13588"/>
                </a:ext>
                <a:ext uri="{FF2B5EF4-FFF2-40B4-BE49-F238E27FC236}">
                  <a16:creationId xmlns:a16="http://schemas.microsoft.com/office/drawing/2014/main" id="{00000000-0008-0000-0000-00001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153</xdr:row>
          <xdr:rowOff>47625</xdr:rowOff>
        </xdr:from>
        <xdr:to>
          <xdr:col>3</xdr:col>
          <xdr:colOff>95250</xdr:colOff>
          <xdr:row>154</xdr:row>
          <xdr:rowOff>95250</xdr:rowOff>
        </xdr:to>
        <xdr:sp macro="" textlink="">
          <xdr:nvSpPr>
            <xdr:cNvPr id="13589" name="Option Button 1301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153</xdr:row>
          <xdr:rowOff>57150</xdr:rowOff>
        </xdr:from>
        <xdr:to>
          <xdr:col>5</xdr:col>
          <xdr:colOff>47625</xdr:colOff>
          <xdr:row>154</xdr:row>
          <xdr:rowOff>95250</xdr:rowOff>
        </xdr:to>
        <xdr:sp macro="" textlink="">
          <xdr:nvSpPr>
            <xdr:cNvPr id="13590" name="Option Button 1302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76200</xdr:rowOff>
        </xdr:from>
        <xdr:to>
          <xdr:col>15</xdr:col>
          <xdr:colOff>133350</xdr:colOff>
          <xdr:row>34</xdr:row>
          <xdr:rowOff>114300</xdr:rowOff>
        </xdr:to>
        <xdr:sp macro="" textlink="">
          <xdr:nvSpPr>
            <xdr:cNvPr id="13595" name="Option Button 1307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0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57150</xdr:rowOff>
        </xdr:from>
        <xdr:to>
          <xdr:col>19</xdr:col>
          <xdr:colOff>314325</xdr:colOff>
          <xdr:row>34</xdr:row>
          <xdr:rowOff>95250</xdr:rowOff>
        </xdr:to>
        <xdr:sp macro="" textlink="">
          <xdr:nvSpPr>
            <xdr:cNvPr id="13596" name="Option Button 1308" descr="ed:erstmalige Durchführung" hidden="1">
              <a:extLst>
                <a:ext uri="{63B3BB69-23CF-44E3-9099-C40C66FF867C}">
                  <a14:compatExt spid="_x0000_s13596"/>
                </a:ext>
                <a:ext uri="{FF2B5EF4-FFF2-40B4-BE49-F238E27FC236}">
                  <a16:creationId xmlns:a16="http://schemas.microsoft.com/office/drawing/2014/main" id="{00000000-0008-0000-0000-00001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28</xdr:row>
          <xdr:rowOff>704850</xdr:rowOff>
        </xdr:from>
        <xdr:to>
          <xdr:col>27</xdr:col>
          <xdr:colOff>171450</xdr:colOff>
          <xdr:row>28</xdr:row>
          <xdr:rowOff>923925</xdr:rowOff>
        </xdr:to>
        <xdr:sp macro="" textlink="">
          <xdr:nvSpPr>
            <xdr:cNvPr id="13598" name="Check Box 1310" hidden="1">
              <a:extLst>
                <a:ext uri="{63B3BB69-23CF-44E3-9099-C40C66FF867C}">
                  <a14:compatExt spid="_x0000_s13598"/>
                </a:ext>
                <a:ext uri="{FF2B5EF4-FFF2-40B4-BE49-F238E27FC236}">
                  <a16:creationId xmlns:a16="http://schemas.microsoft.com/office/drawing/2014/main" id="{00000000-0008-0000-0000-00001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95250</xdr:rowOff>
        </xdr:from>
        <xdr:to>
          <xdr:col>12</xdr:col>
          <xdr:colOff>104775</xdr:colOff>
          <xdr:row>78</xdr:row>
          <xdr:rowOff>314325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95250</xdr:rowOff>
        </xdr:from>
        <xdr:to>
          <xdr:col>15</xdr:col>
          <xdr:colOff>123825</xdr:colOff>
          <xdr:row>78</xdr:row>
          <xdr:rowOff>314325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78</xdr:row>
          <xdr:rowOff>85725</xdr:rowOff>
        </xdr:from>
        <xdr:to>
          <xdr:col>19</xdr:col>
          <xdr:colOff>9525</xdr:colOff>
          <xdr:row>78</xdr:row>
          <xdr:rowOff>304800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79</xdr:row>
          <xdr:rowOff>142875</xdr:rowOff>
        </xdr:from>
        <xdr:to>
          <xdr:col>12</xdr:col>
          <xdr:colOff>104775</xdr:colOff>
          <xdr:row>79</xdr:row>
          <xdr:rowOff>361950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4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133350</xdr:rowOff>
        </xdr:from>
        <xdr:to>
          <xdr:col>15</xdr:col>
          <xdr:colOff>123825</xdr:colOff>
          <xdr:row>79</xdr:row>
          <xdr:rowOff>352425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4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79</xdr:row>
          <xdr:rowOff>152400</xdr:rowOff>
        </xdr:from>
        <xdr:to>
          <xdr:col>18</xdr:col>
          <xdr:colOff>142875</xdr:colOff>
          <xdr:row>79</xdr:row>
          <xdr:rowOff>371475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4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80</xdr:row>
          <xdr:rowOff>104775</xdr:rowOff>
        </xdr:from>
        <xdr:to>
          <xdr:col>18</xdr:col>
          <xdr:colOff>152400</xdr:colOff>
          <xdr:row>80</xdr:row>
          <xdr:rowOff>323850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4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123825</xdr:rowOff>
        </xdr:from>
        <xdr:to>
          <xdr:col>12</xdr:col>
          <xdr:colOff>123825</xdr:colOff>
          <xdr:row>80</xdr:row>
          <xdr:rowOff>342900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4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80</xdr:row>
          <xdr:rowOff>114300</xdr:rowOff>
        </xdr:from>
        <xdr:to>
          <xdr:col>15</xdr:col>
          <xdr:colOff>114300</xdr:colOff>
          <xdr:row>80</xdr:row>
          <xdr:rowOff>333375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4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81</xdr:row>
          <xdr:rowOff>85725</xdr:rowOff>
        </xdr:from>
        <xdr:to>
          <xdr:col>18</xdr:col>
          <xdr:colOff>152400</xdr:colOff>
          <xdr:row>81</xdr:row>
          <xdr:rowOff>400050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4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81</xdr:row>
          <xdr:rowOff>123825</xdr:rowOff>
        </xdr:from>
        <xdr:to>
          <xdr:col>12</xdr:col>
          <xdr:colOff>133350</xdr:colOff>
          <xdr:row>81</xdr:row>
          <xdr:rowOff>400050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4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123825</xdr:rowOff>
        </xdr:from>
        <xdr:to>
          <xdr:col>15</xdr:col>
          <xdr:colOff>123825</xdr:colOff>
          <xdr:row>81</xdr:row>
          <xdr:rowOff>400050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4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82</xdr:row>
          <xdr:rowOff>104775</xdr:rowOff>
        </xdr:from>
        <xdr:to>
          <xdr:col>12</xdr:col>
          <xdr:colOff>123825</xdr:colOff>
          <xdr:row>82</xdr:row>
          <xdr:rowOff>323850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4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95250</xdr:rowOff>
        </xdr:from>
        <xdr:to>
          <xdr:col>15</xdr:col>
          <xdr:colOff>123825</xdr:colOff>
          <xdr:row>82</xdr:row>
          <xdr:rowOff>314325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4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82</xdr:row>
          <xdr:rowOff>95250</xdr:rowOff>
        </xdr:from>
        <xdr:to>
          <xdr:col>18</xdr:col>
          <xdr:colOff>142875</xdr:colOff>
          <xdr:row>82</xdr:row>
          <xdr:rowOff>314325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4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83</xdr:row>
          <xdr:rowOff>0</xdr:rowOff>
        </xdr:from>
        <xdr:to>
          <xdr:col>11</xdr:col>
          <xdr:colOff>38100</xdr:colOff>
          <xdr:row>84</xdr:row>
          <xdr:rowOff>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4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66262</xdr:colOff>
      <xdr:row>0</xdr:row>
      <xdr:rowOff>58393</xdr:rowOff>
    </xdr:from>
    <xdr:to>
      <xdr:col>5</xdr:col>
      <xdr:colOff>96791</xdr:colOff>
      <xdr:row>4</xdr:row>
      <xdr:rowOff>163168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C23D388-EFEE-498C-BBE1-CD26DE87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62" y="58393"/>
          <a:ext cx="941616" cy="841927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104775</xdr:rowOff>
    </xdr:from>
    <xdr:to>
      <xdr:col>28</xdr:col>
      <xdr:colOff>786848</xdr:colOff>
      <xdr:row>4</xdr:row>
      <xdr:rowOff>71900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FAA1D9B-A0BD-4B47-AA7D-AE50BB1B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104775"/>
          <a:ext cx="1602685" cy="7042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95250</xdr:rowOff>
        </xdr:from>
        <xdr:to>
          <xdr:col>12</xdr:col>
          <xdr:colOff>104775</xdr:colOff>
          <xdr:row>78</xdr:row>
          <xdr:rowOff>314325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  <a:ext uri="{FF2B5EF4-FFF2-40B4-BE49-F238E27FC236}">
                  <a16:creationId xmlns:a16="http://schemas.microsoft.com/office/drawing/2014/main" id="{00000000-0008-0000-0400-00002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95250</xdr:rowOff>
        </xdr:from>
        <xdr:to>
          <xdr:col>15</xdr:col>
          <xdr:colOff>123825</xdr:colOff>
          <xdr:row>78</xdr:row>
          <xdr:rowOff>314325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  <a:ext uri="{FF2B5EF4-FFF2-40B4-BE49-F238E27FC236}">
                  <a16:creationId xmlns:a16="http://schemas.microsoft.com/office/drawing/2014/main" id="{00000000-0008-0000-0400-00002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78</xdr:row>
          <xdr:rowOff>85725</xdr:rowOff>
        </xdr:from>
        <xdr:to>
          <xdr:col>19</xdr:col>
          <xdr:colOff>9525</xdr:colOff>
          <xdr:row>78</xdr:row>
          <xdr:rowOff>304800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  <a:ext uri="{FF2B5EF4-FFF2-40B4-BE49-F238E27FC236}">
                  <a16:creationId xmlns:a16="http://schemas.microsoft.com/office/drawing/2014/main" id="{00000000-0008-0000-0400-00002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79</xdr:row>
          <xdr:rowOff>142875</xdr:rowOff>
        </xdr:from>
        <xdr:to>
          <xdr:col>12</xdr:col>
          <xdr:colOff>104775</xdr:colOff>
          <xdr:row>79</xdr:row>
          <xdr:rowOff>361950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4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133350</xdr:rowOff>
        </xdr:from>
        <xdr:to>
          <xdr:col>15</xdr:col>
          <xdr:colOff>123825</xdr:colOff>
          <xdr:row>79</xdr:row>
          <xdr:rowOff>352425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  <a:ext uri="{FF2B5EF4-FFF2-40B4-BE49-F238E27FC236}">
                  <a16:creationId xmlns:a16="http://schemas.microsoft.com/office/drawing/2014/main" id="{00000000-0008-0000-0400-00002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79</xdr:row>
          <xdr:rowOff>152400</xdr:rowOff>
        </xdr:from>
        <xdr:to>
          <xdr:col>18</xdr:col>
          <xdr:colOff>142875</xdr:colOff>
          <xdr:row>79</xdr:row>
          <xdr:rowOff>371475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  <a:ext uri="{FF2B5EF4-FFF2-40B4-BE49-F238E27FC236}">
                  <a16:creationId xmlns:a16="http://schemas.microsoft.com/office/drawing/2014/main" id="{00000000-0008-0000-0400-00002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80</xdr:row>
          <xdr:rowOff>104775</xdr:rowOff>
        </xdr:from>
        <xdr:to>
          <xdr:col>18</xdr:col>
          <xdr:colOff>152400</xdr:colOff>
          <xdr:row>80</xdr:row>
          <xdr:rowOff>323850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  <a:ext uri="{FF2B5EF4-FFF2-40B4-BE49-F238E27FC236}">
                  <a16:creationId xmlns:a16="http://schemas.microsoft.com/office/drawing/2014/main" id="{00000000-0008-0000-0400-00002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80</xdr:row>
          <xdr:rowOff>123825</xdr:rowOff>
        </xdr:from>
        <xdr:to>
          <xdr:col>12</xdr:col>
          <xdr:colOff>123825</xdr:colOff>
          <xdr:row>80</xdr:row>
          <xdr:rowOff>342900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4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80</xdr:row>
          <xdr:rowOff>114300</xdr:rowOff>
        </xdr:from>
        <xdr:to>
          <xdr:col>15</xdr:col>
          <xdr:colOff>114300</xdr:colOff>
          <xdr:row>80</xdr:row>
          <xdr:rowOff>333375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4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81</xdr:row>
          <xdr:rowOff>85725</xdr:rowOff>
        </xdr:from>
        <xdr:to>
          <xdr:col>18</xdr:col>
          <xdr:colOff>152400</xdr:colOff>
          <xdr:row>81</xdr:row>
          <xdr:rowOff>400050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4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81</xdr:row>
          <xdr:rowOff>123825</xdr:rowOff>
        </xdr:from>
        <xdr:to>
          <xdr:col>12</xdr:col>
          <xdr:colOff>133350</xdr:colOff>
          <xdr:row>81</xdr:row>
          <xdr:rowOff>400050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4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81</xdr:row>
          <xdr:rowOff>123825</xdr:rowOff>
        </xdr:from>
        <xdr:to>
          <xdr:col>15</xdr:col>
          <xdr:colOff>123825</xdr:colOff>
          <xdr:row>81</xdr:row>
          <xdr:rowOff>400050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4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82</xdr:row>
          <xdr:rowOff>104775</xdr:rowOff>
        </xdr:from>
        <xdr:to>
          <xdr:col>12</xdr:col>
          <xdr:colOff>123825</xdr:colOff>
          <xdr:row>82</xdr:row>
          <xdr:rowOff>323850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4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95250</xdr:rowOff>
        </xdr:from>
        <xdr:to>
          <xdr:col>15</xdr:col>
          <xdr:colOff>123825</xdr:colOff>
          <xdr:row>82</xdr:row>
          <xdr:rowOff>314325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4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82</xdr:row>
          <xdr:rowOff>95250</xdr:rowOff>
        </xdr:from>
        <xdr:to>
          <xdr:col>18</xdr:col>
          <xdr:colOff>142875</xdr:colOff>
          <xdr:row>82</xdr:row>
          <xdr:rowOff>314325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4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83</xdr:row>
          <xdr:rowOff>0</xdr:rowOff>
        </xdr:from>
        <xdr:to>
          <xdr:col>11</xdr:col>
          <xdr:colOff>38100</xdr:colOff>
          <xdr:row>84</xdr:row>
          <xdr:rowOff>0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  <a:ext uri="{FF2B5EF4-FFF2-40B4-BE49-F238E27FC236}">
                  <a16:creationId xmlns:a16="http://schemas.microsoft.com/office/drawing/2014/main" id="{00000000-0008-0000-0400-00003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61"/>
  <sheetViews>
    <sheetView showGridLines="0" tabSelected="1" showWhiteSpace="0" zoomScale="115" zoomScaleNormal="115" zoomScaleSheetLayoutView="100" workbookViewId="0">
      <selection activeCell="B11" sqref="B11:X11"/>
    </sheetView>
  </sheetViews>
  <sheetFormatPr baseColWidth="10" defaultColWidth="11.42578125" defaultRowHeight="12.75" zeroHeight="1" x14ac:dyDescent="0.2"/>
  <cols>
    <col min="1" max="1" width="4.28515625" style="144" customWidth="1"/>
    <col min="2" max="2" width="3.85546875" style="138" customWidth="1"/>
    <col min="3" max="4" width="3.7109375" style="138" customWidth="1"/>
    <col min="5" max="5" width="4.140625" style="138" customWidth="1"/>
    <col min="6" max="6" width="3.5703125" style="138" customWidth="1"/>
    <col min="7" max="7" width="3.7109375" style="138" customWidth="1"/>
    <col min="8" max="8" width="4" style="138" customWidth="1"/>
    <col min="9" max="11" width="3.7109375" style="138" customWidth="1"/>
    <col min="12" max="12" width="3.140625" style="138" customWidth="1"/>
    <col min="13" max="15" width="3.7109375" style="138" customWidth="1"/>
    <col min="16" max="16" width="9.85546875" style="138" customWidth="1"/>
    <col min="17" max="17" width="3.7109375" style="138" customWidth="1"/>
    <col min="18" max="18" width="2.28515625" style="138" customWidth="1"/>
    <col min="19" max="19" width="3.7109375" style="138" customWidth="1"/>
    <col min="20" max="20" width="9" style="138" customWidth="1"/>
    <col min="21" max="21" width="3.28515625" style="138" customWidth="1"/>
    <col min="22" max="23" width="3.7109375" style="138" customWidth="1"/>
    <col min="24" max="24" width="6.28515625" style="138" customWidth="1"/>
    <col min="25" max="25" width="3.7109375" style="138" customWidth="1"/>
    <col min="26" max="26" width="4" style="138" customWidth="1"/>
    <col min="27" max="27" width="3.7109375" style="138" customWidth="1"/>
    <col min="28" max="28" width="4.7109375" style="138" customWidth="1"/>
    <col min="29" max="29" width="2.28515625" style="138" customWidth="1"/>
    <col min="30" max="30" width="9.28515625" style="138" customWidth="1"/>
    <col min="31" max="31" width="8.140625" style="138" customWidth="1"/>
    <col min="32" max="33" width="11.42578125" style="138"/>
    <col min="34" max="34" width="17" style="138" customWidth="1"/>
    <col min="35" max="37" width="11.42578125" style="138"/>
    <col min="38" max="41" width="20.140625" style="138" customWidth="1"/>
    <col min="42" max="43" width="11.42578125" style="138"/>
    <col min="44" max="44" width="22.85546875" style="138" customWidth="1"/>
    <col min="45" max="45" width="11.42578125" style="138"/>
    <col min="46" max="51" width="11.5703125" style="138" bestFit="1" customWidth="1"/>
    <col min="52" max="52" width="13" style="138" bestFit="1" customWidth="1"/>
    <col min="53" max="53" width="11.5703125" style="138" bestFit="1" customWidth="1"/>
    <col min="54" max="54" width="13.42578125" style="138" customWidth="1"/>
    <col min="55" max="56" width="11.5703125" style="138" bestFit="1" customWidth="1"/>
    <col min="57" max="16384" width="11.42578125" style="138"/>
  </cols>
  <sheetData>
    <row r="1" spans="1:30" ht="19.5" customHeight="1" x14ac:dyDescent="0.25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</row>
    <row r="2" spans="1:30" ht="12.75" customHeight="1" x14ac:dyDescent="0.2">
      <c r="A2" s="361" t="s">
        <v>137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</row>
    <row r="3" spans="1:30" ht="12.75" customHeight="1" x14ac:dyDescent="0.25">
      <c r="A3" s="140"/>
      <c r="B3" s="141"/>
      <c r="C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3"/>
    </row>
    <row r="4" spans="1:30" ht="18" customHeight="1" x14ac:dyDescent="0.25">
      <c r="B4" s="145"/>
      <c r="C4" s="362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145"/>
      <c r="AA4" s="145"/>
    </row>
    <row r="5" spans="1:30" ht="18.75" customHeight="1" x14ac:dyDescent="0.2"/>
    <row r="6" spans="1:30" ht="9.6" customHeight="1" x14ac:dyDescent="0.2"/>
    <row r="7" spans="1:30" ht="63.75" customHeight="1" x14ac:dyDescent="0.2">
      <c r="A7" s="374" t="s">
        <v>863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146"/>
    </row>
    <row r="8" spans="1:30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</row>
    <row r="9" spans="1:30" ht="15.75" x14ac:dyDescent="0.25">
      <c r="A9" s="148" t="s">
        <v>169</v>
      </c>
      <c r="B9" s="149" t="s">
        <v>770</v>
      </c>
      <c r="C9" s="149"/>
      <c r="D9" s="149"/>
      <c r="E9" s="150"/>
      <c r="F9" s="150"/>
      <c r="G9" s="150"/>
      <c r="H9" s="150"/>
      <c r="I9" s="150"/>
      <c r="J9" s="150"/>
      <c r="K9" s="150"/>
      <c r="L9" s="151"/>
      <c r="M9" s="151"/>
      <c r="N9" s="151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3"/>
      <c r="AD9" s="154"/>
    </row>
    <row r="10" spans="1:30" x14ac:dyDescent="0.2">
      <c r="A10" s="155"/>
      <c r="B10" s="272" t="s">
        <v>760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3"/>
      <c r="Y10" s="156"/>
      <c r="Z10" s="156"/>
      <c r="AA10" s="70"/>
      <c r="AB10" s="157"/>
    </row>
    <row r="11" spans="1:30" ht="14.25" x14ac:dyDescent="0.2">
      <c r="A11" s="155"/>
      <c r="B11" s="367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9"/>
      <c r="Y11" s="158"/>
      <c r="Z11" s="158"/>
      <c r="AA11" s="370" t="str">
        <f>IF(AnmeldeNummer=0," ", "lfd.Nr.")</f>
        <v xml:space="preserve"> </v>
      </c>
      <c r="AB11" s="371"/>
    </row>
    <row r="12" spans="1:30" ht="13.15" customHeight="1" x14ac:dyDescent="0.2">
      <c r="A12" s="155"/>
      <c r="B12" s="379" t="s">
        <v>973</v>
      </c>
      <c r="C12" s="380"/>
      <c r="D12" s="380"/>
      <c r="E12" s="380"/>
      <c r="F12" s="380"/>
      <c r="G12" s="380"/>
      <c r="H12" s="380"/>
      <c r="I12" s="380"/>
      <c r="J12" s="380"/>
      <c r="K12" s="381"/>
      <c r="L12" s="272" t="s">
        <v>36</v>
      </c>
      <c r="M12" s="273"/>
      <c r="N12" s="273"/>
      <c r="O12" s="274"/>
      <c r="P12" s="162" t="s">
        <v>37</v>
      </c>
      <c r="Q12" s="163"/>
      <c r="R12" s="70"/>
      <c r="S12" s="70"/>
      <c r="T12" s="70"/>
      <c r="U12" s="70"/>
      <c r="V12" s="70"/>
      <c r="W12" s="70"/>
      <c r="X12" s="164"/>
      <c r="Y12" s="70"/>
      <c r="Z12" s="70"/>
      <c r="AA12" s="376" t="str">
        <f>IF(AnmeldeNummer=0,"",AnmeldeNummer)</f>
        <v/>
      </c>
      <c r="AB12" s="377"/>
    </row>
    <row r="13" spans="1:30" ht="14.25" x14ac:dyDescent="0.2">
      <c r="A13" s="155"/>
      <c r="B13" s="364"/>
      <c r="C13" s="365"/>
      <c r="D13" s="365"/>
      <c r="E13" s="365"/>
      <c r="F13" s="365"/>
      <c r="G13" s="365"/>
      <c r="H13" s="365"/>
      <c r="I13" s="365"/>
      <c r="J13" s="365"/>
      <c r="K13" s="366"/>
      <c r="L13" s="364"/>
      <c r="M13" s="365"/>
      <c r="N13" s="365"/>
      <c r="O13" s="366"/>
      <c r="P13" s="367"/>
      <c r="Q13" s="368"/>
      <c r="R13" s="368"/>
      <c r="S13" s="368"/>
      <c r="T13" s="368"/>
      <c r="U13" s="368"/>
      <c r="V13" s="368"/>
      <c r="W13" s="368"/>
      <c r="X13" s="369"/>
      <c r="Y13" s="165"/>
      <c r="Z13" s="165"/>
      <c r="AA13" s="378"/>
      <c r="AB13" s="377"/>
    </row>
    <row r="14" spans="1:30" s="170" customFormat="1" x14ac:dyDescent="0.2">
      <c r="A14" s="166"/>
      <c r="B14" s="392" t="s">
        <v>47</v>
      </c>
      <c r="C14" s="466"/>
      <c r="D14" s="466"/>
      <c r="E14" s="466"/>
      <c r="F14" s="467"/>
      <c r="G14" s="392" t="s">
        <v>207</v>
      </c>
      <c r="H14" s="466"/>
      <c r="I14" s="466"/>
      <c r="J14" s="466"/>
      <c r="K14" s="467"/>
      <c r="L14" s="382" t="s">
        <v>48</v>
      </c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3"/>
      <c r="Y14" s="169"/>
      <c r="Z14" s="70"/>
      <c r="AB14" s="171"/>
    </row>
    <row r="15" spans="1:30" ht="14.25" x14ac:dyDescent="0.2">
      <c r="A15" s="155"/>
      <c r="B15" s="364"/>
      <c r="C15" s="365"/>
      <c r="D15" s="365"/>
      <c r="E15" s="365"/>
      <c r="F15" s="366"/>
      <c r="G15" s="364"/>
      <c r="H15" s="365"/>
      <c r="I15" s="365"/>
      <c r="J15" s="365"/>
      <c r="K15" s="366"/>
      <c r="L15" s="395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172"/>
      <c r="Z15" s="172"/>
      <c r="AB15" s="173"/>
      <c r="AD15" s="174"/>
    </row>
    <row r="16" spans="1:30" s="177" customFormat="1" ht="15" x14ac:dyDescent="0.2">
      <c r="A16" s="175"/>
      <c r="B16" s="176" t="s">
        <v>165</v>
      </c>
      <c r="H16" s="178"/>
      <c r="I16" s="179"/>
      <c r="J16" s="179"/>
      <c r="K16" s="179"/>
      <c r="L16" s="179"/>
      <c r="M16" s="179"/>
      <c r="N16" s="179"/>
      <c r="O16" s="179"/>
      <c r="P16" s="180"/>
      <c r="S16" s="178"/>
      <c r="T16" s="179"/>
      <c r="U16" s="179"/>
      <c r="V16" s="179"/>
      <c r="W16" s="179"/>
      <c r="X16" s="179"/>
      <c r="Y16" s="179"/>
      <c r="Z16" s="179"/>
      <c r="AA16" s="181"/>
      <c r="AB16" s="182"/>
    </row>
    <row r="17" spans="1:34" s="170" customFormat="1" ht="12.75" customHeight="1" x14ac:dyDescent="0.2">
      <c r="A17" s="166"/>
      <c r="B17" s="392" t="s">
        <v>46</v>
      </c>
      <c r="C17" s="274"/>
      <c r="D17" s="159" t="s">
        <v>129</v>
      </c>
      <c r="E17" s="168"/>
      <c r="F17" s="168"/>
      <c r="G17" s="161"/>
      <c r="H17" s="167" t="s">
        <v>44</v>
      </c>
      <c r="I17" s="160"/>
      <c r="J17" s="160"/>
      <c r="K17" s="160"/>
      <c r="L17" s="160"/>
      <c r="M17" s="160"/>
      <c r="N17" s="160"/>
      <c r="O17" s="160"/>
      <c r="P17" s="161"/>
      <c r="Q17" s="183" t="s">
        <v>93</v>
      </c>
      <c r="R17" s="183"/>
      <c r="S17" s="183"/>
      <c r="T17" s="183"/>
      <c r="U17" s="183"/>
      <c r="V17" s="183"/>
      <c r="W17" s="183"/>
      <c r="X17" s="184"/>
      <c r="Y17" s="169"/>
      <c r="Z17" s="169"/>
      <c r="AA17" s="393" t="str">
        <f>IF(Anmeldeingang=0," ", "Eingang")</f>
        <v xml:space="preserve"> </v>
      </c>
      <c r="AB17" s="394"/>
    </row>
    <row r="18" spans="1:34" ht="14.25" x14ac:dyDescent="0.2">
      <c r="A18" s="155"/>
      <c r="B18" s="364"/>
      <c r="C18" s="396"/>
      <c r="D18" s="364"/>
      <c r="E18" s="397"/>
      <c r="F18" s="397"/>
      <c r="G18" s="398"/>
      <c r="H18" s="364"/>
      <c r="I18" s="468"/>
      <c r="J18" s="468"/>
      <c r="K18" s="468"/>
      <c r="L18" s="468"/>
      <c r="M18" s="468"/>
      <c r="N18" s="468"/>
      <c r="O18" s="468"/>
      <c r="P18" s="396"/>
      <c r="Q18" s="367"/>
      <c r="R18" s="368"/>
      <c r="S18" s="368"/>
      <c r="T18" s="368"/>
      <c r="U18" s="368"/>
      <c r="V18" s="368"/>
      <c r="W18" s="368"/>
      <c r="X18" s="369"/>
      <c r="Y18" s="172"/>
      <c r="Z18" s="172"/>
      <c r="AA18" s="469" t="str">
        <f>IF(Anmeldeingang=0," ", Anmeldeingang)</f>
        <v xml:space="preserve"> </v>
      </c>
      <c r="AB18" s="470"/>
    </row>
    <row r="19" spans="1:34" s="177" customFormat="1" ht="15" x14ac:dyDescent="0.2">
      <c r="A19" s="175"/>
      <c r="B19" s="176" t="s">
        <v>856</v>
      </c>
      <c r="H19" s="178"/>
      <c r="I19" s="179"/>
      <c r="J19" s="179"/>
      <c r="K19" s="179"/>
      <c r="L19" s="179"/>
      <c r="M19" s="179"/>
      <c r="N19" s="179"/>
      <c r="O19" s="179"/>
      <c r="P19" s="180"/>
      <c r="S19" s="178"/>
      <c r="T19" s="179"/>
      <c r="U19" s="179"/>
      <c r="V19" s="179"/>
      <c r="W19" s="179"/>
      <c r="X19" s="179"/>
      <c r="Y19" s="179"/>
      <c r="Z19" s="179"/>
      <c r="AA19" s="181"/>
      <c r="AB19" s="186"/>
    </row>
    <row r="20" spans="1:34" s="170" customFormat="1" x14ac:dyDescent="0.2">
      <c r="A20" s="166"/>
      <c r="B20" s="392" t="s">
        <v>46</v>
      </c>
      <c r="C20" s="466"/>
      <c r="D20" s="466"/>
      <c r="E20" s="467"/>
      <c r="F20" s="392" t="s">
        <v>44</v>
      </c>
      <c r="G20" s="380"/>
      <c r="H20" s="380"/>
      <c r="I20" s="380"/>
      <c r="J20" s="380"/>
      <c r="K20" s="380"/>
      <c r="L20" s="380"/>
      <c r="M20" s="380"/>
      <c r="N20" s="380"/>
      <c r="O20" s="380"/>
      <c r="P20" s="381"/>
      <c r="Q20" s="382" t="s">
        <v>93</v>
      </c>
      <c r="R20" s="372"/>
      <c r="S20" s="372"/>
      <c r="T20" s="372"/>
      <c r="U20" s="372"/>
      <c r="V20" s="372"/>
      <c r="W20" s="372"/>
      <c r="X20" s="373"/>
      <c r="Y20" s="169"/>
      <c r="Z20" s="169"/>
      <c r="AA20" s="469" t="str">
        <f>IF(neufass=0," ","Neue Fass.")</f>
        <v xml:space="preserve"> </v>
      </c>
      <c r="AB20" s="470"/>
    </row>
    <row r="21" spans="1:34" ht="14.25" x14ac:dyDescent="0.2">
      <c r="A21" s="155"/>
      <c r="B21" s="364"/>
      <c r="C21" s="365"/>
      <c r="D21" s="365"/>
      <c r="E21" s="366"/>
      <c r="F21" s="364"/>
      <c r="G21" s="365"/>
      <c r="H21" s="365"/>
      <c r="I21" s="365"/>
      <c r="J21" s="365"/>
      <c r="K21" s="365"/>
      <c r="L21" s="365"/>
      <c r="M21" s="365"/>
      <c r="N21" s="365"/>
      <c r="O21" s="365"/>
      <c r="P21" s="366"/>
      <c r="Q21" s="367"/>
      <c r="R21" s="368"/>
      <c r="S21" s="368"/>
      <c r="T21" s="368"/>
      <c r="U21" s="368"/>
      <c r="V21" s="368"/>
      <c r="W21" s="368"/>
      <c r="X21" s="369"/>
      <c r="Y21" s="172"/>
      <c r="Z21" s="172"/>
      <c r="AA21" s="469" t="str">
        <f>IF(neufass=0," ",neufass)</f>
        <v xml:space="preserve"> </v>
      </c>
      <c r="AB21" s="470"/>
    </row>
    <row r="22" spans="1:34" s="170" customFormat="1" ht="15" x14ac:dyDescent="0.2">
      <c r="A22" s="166"/>
      <c r="B22" s="392" t="s">
        <v>47</v>
      </c>
      <c r="C22" s="380"/>
      <c r="D22" s="380"/>
      <c r="E22" s="380"/>
      <c r="F22" s="380"/>
      <c r="H22" s="70"/>
      <c r="I22" s="70"/>
      <c r="J22" s="70"/>
      <c r="K22" s="164"/>
      <c r="L22" s="392" t="s">
        <v>48</v>
      </c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4"/>
      <c r="Y22" s="70"/>
      <c r="Z22" s="70"/>
      <c r="AA22" s="181"/>
      <c r="AB22" s="173"/>
    </row>
    <row r="23" spans="1:34" ht="14.25" x14ac:dyDescent="0.2">
      <c r="A23" s="155"/>
      <c r="B23" s="364"/>
      <c r="C23" s="365"/>
      <c r="D23" s="365"/>
      <c r="E23" s="365"/>
      <c r="F23" s="365"/>
      <c r="G23" s="504"/>
      <c r="H23" s="504"/>
      <c r="I23" s="504"/>
      <c r="J23" s="504"/>
      <c r="K23" s="505"/>
      <c r="L23" s="509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396"/>
      <c r="Y23" s="158"/>
      <c r="Z23" s="158"/>
      <c r="AA23" s="70"/>
      <c r="AB23" s="173"/>
    </row>
    <row r="24" spans="1:34" s="177" customFormat="1" ht="15" x14ac:dyDescent="0.2">
      <c r="A24" s="175"/>
      <c r="B24" s="176" t="s">
        <v>166</v>
      </c>
      <c r="C24" s="187"/>
      <c r="D24" s="187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B24" s="182"/>
    </row>
    <row r="25" spans="1:34" ht="17.25" customHeight="1" x14ac:dyDescent="0.2">
      <c r="A25" s="189"/>
      <c r="B25" s="491" t="s">
        <v>795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3"/>
      <c r="Q25" s="497" t="str">
        <f>IF(Akauswahl=1,"EurekaRLP Plus-Begünstigtennr.:","")</f>
        <v/>
      </c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9"/>
      <c r="AH25" s="190"/>
    </row>
    <row r="26" spans="1:34" ht="21.75" customHeight="1" x14ac:dyDescent="0.2">
      <c r="A26" s="191"/>
      <c r="B26" s="494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6"/>
      <c r="Q26" s="500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502"/>
      <c r="AH26" s="190"/>
    </row>
    <row r="27" spans="1:34" ht="29.45" customHeight="1" x14ac:dyDescent="0.2">
      <c r="A27" s="191"/>
      <c r="B27" s="521" t="str">
        <f>IF(Akauswahl =2,"Bitte nehmen Sie umgehend Kontakt zur Beratungsstelle auf: Tel. 0651-14645-12 oder 
akkreditierung@schneider-beratung.eu"," ")</f>
        <v xml:space="preserve"> </v>
      </c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H27" s="190"/>
    </row>
    <row r="28" spans="1:34" ht="42" customHeight="1" x14ac:dyDescent="0.2">
      <c r="A28" s="191"/>
      <c r="B28" s="460" t="s">
        <v>793</v>
      </c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2"/>
      <c r="AH28" s="190"/>
    </row>
    <row r="29" spans="1:34" ht="74.25" customHeight="1" x14ac:dyDescent="0.2">
      <c r="A29" s="155"/>
      <c r="B29" s="460" t="s">
        <v>976</v>
      </c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2"/>
    </row>
    <row r="30" spans="1:34" s="177" customFormat="1" ht="15.75" x14ac:dyDescent="0.2">
      <c r="A30" s="194" t="s">
        <v>171</v>
      </c>
      <c r="B30" s="195" t="s">
        <v>170</v>
      </c>
      <c r="C30" s="195"/>
      <c r="D30" s="195"/>
      <c r="E30" s="195"/>
      <c r="F30" s="195"/>
      <c r="G30" s="196"/>
      <c r="H30" s="197"/>
      <c r="I30" s="197"/>
      <c r="J30" s="197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7"/>
      <c r="AA30" s="197"/>
      <c r="AB30" s="197"/>
    </row>
    <row r="31" spans="1:34" x14ac:dyDescent="0.2">
      <c r="A31" s="199"/>
      <c r="B31" s="474" t="s">
        <v>132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274"/>
    </row>
    <row r="32" spans="1:34" ht="12" customHeight="1" x14ac:dyDescent="0.2">
      <c r="A32" s="199"/>
      <c r="B32" s="36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96"/>
    </row>
    <row r="33" spans="1:29" s="177" customFormat="1" ht="24" customHeight="1" x14ac:dyDescent="0.2">
      <c r="A33" s="175"/>
      <c r="B33" s="519" t="s">
        <v>40</v>
      </c>
      <c r="C33" s="520"/>
      <c r="D33" s="520"/>
      <c r="E33" s="520"/>
      <c r="F33" s="520"/>
      <c r="G33" s="520"/>
      <c r="H33" s="520"/>
      <c r="I33" s="520"/>
      <c r="J33" s="176" t="s">
        <v>41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479" t="s">
        <v>790</v>
      </c>
      <c r="X33" s="480"/>
      <c r="Y33" s="480"/>
      <c r="Z33" s="480"/>
      <c r="AA33" s="480"/>
      <c r="AB33" s="481"/>
    </row>
    <row r="34" spans="1:29" s="156" customFormat="1" ht="14.25" customHeight="1" x14ac:dyDescent="0.2">
      <c r="A34" s="162"/>
      <c r="B34" s="474" t="s">
        <v>50</v>
      </c>
      <c r="C34" s="525"/>
      <c r="D34" s="525"/>
      <c r="E34" s="200"/>
      <c r="F34" s="474" t="s">
        <v>51</v>
      </c>
      <c r="G34" s="525"/>
      <c r="H34" s="525"/>
      <c r="I34" s="526"/>
      <c r="J34" s="201"/>
      <c r="K34" s="136"/>
      <c r="L34" s="136"/>
      <c r="M34" s="136"/>
      <c r="N34" s="136"/>
      <c r="O34" s="136"/>
      <c r="P34" s="202"/>
      <c r="Q34" s="202"/>
      <c r="R34" s="202"/>
      <c r="S34" s="202"/>
      <c r="T34" s="202"/>
      <c r="U34" s="202"/>
      <c r="V34" s="203"/>
      <c r="W34" s="204" t="s">
        <v>789</v>
      </c>
      <c r="X34" s="136"/>
      <c r="Y34" s="136"/>
      <c r="Z34" s="136"/>
      <c r="AA34" s="136"/>
      <c r="AB34" s="205"/>
    </row>
    <row r="35" spans="1:29" ht="15" customHeight="1" x14ac:dyDescent="0.2">
      <c r="A35" s="206"/>
      <c r="B35" s="463"/>
      <c r="C35" s="464"/>
      <c r="D35" s="464"/>
      <c r="E35" s="465"/>
      <c r="F35" s="506"/>
      <c r="G35" s="507"/>
      <c r="H35" s="507"/>
      <c r="I35" s="508"/>
      <c r="J35" s="207"/>
      <c r="K35" s="208"/>
      <c r="L35" s="208"/>
      <c r="M35" s="208"/>
      <c r="N35" s="208"/>
      <c r="O35" s="208"/>
      <c r="P35" s="209"/>
      <c r="Q35" s="209"/>
      <c r="R35" s="209"/>
      <c r="S35" s="209"/>
      <c r="T35" s="209"/>
      <c r="U35" s="209"/>
      <c r="V35" s="210"/>
      <c r="W35" s="503"/>
      <c r="X35" s="468"/>
      <c r="Y35" s="468"/>
      <c r="Z35" s="468"/>
      <c r="AA35" s="468"/>
      <c r="AB35" s="396"/>
    </row>
    <row r="36" spans="1:29" s="177" customFormat="1" ht="14.25" customHeight="1" x14ac:dyDescent="0.2">
      <c r="A36" s="211"/>
      <c r="B36" s="212" t="s">
        <v>105</v>
      </c>
      <c r="L36" s="178"/>
      <c r="AB36" s="182"/>
    </row>
    <row r="37" spans="1:29" s="215" customFormat="1" ht="19.899999999999999" customHeight="1" x14ac:dyDescent="0.2">
      <c r="A37" s="213"/>
      <c r="B37" s="214"/>
      <c r="L37" s="214"/>
      <c r="U37" s="187"/>
      <c r="V37" s="216" t="str">
        <f ca="1">IF(OR(GEK="Übergangsregion/ÜR", GEK="Stdt. Trier", GEK="Lkr. Trier-Saarburg", GEK="Lkr. Bernkastel-Wittlich",GEK="Vulkaneifelkreis",GEK="Eifelkreis Bitburg-Prüm"), "Übergangsregion (ÜR)"," ")</f>
        <v xml:space="preserve"> </v>
      </c>
      <c r="W37" s="216"/>
      <c r="X37" s="216"/>
      <c r="Y37" s="216"/>
      <c r="Z37" s="216"/>
      <c r="AA37" s="216"/>
      <c r="AB37" s="217"/>
    </row>
    <row r="38" spans="1:29" ht="14.25" customHeight="1" x14ac:dyDescent="0.2">
      <c r="A38" s="199"/>
      <c r="C38" s="158"/>
      <c r="L38" s="218"/>
      <c r="U38" s="187" t="s">
        <v>763</v>
      </c>
      <c r="V38" s="487" t="str">
        <f ca="1">IF(OR(GEK="Übergangsregion/ÜR", GEK="Stdt. Trier", GEK="Lkr. Trier-Saarburg", GEK="Lkr. Bernkastel-Wittlich",GEK="Vulkaneifelkreis",GEK="Eifelkreis Bitburg-Prüm",GEK="Bitte auswählen")," ", "Stärker entwickelte Region (SER)")</f>
        <v xml:space="preserve"> </v>
      </c>
      <c r="W38" s="486"/>
      <c r="X38" s="486"/>
      <c r="Y38" s="486"/>
      <c r="Z38" s="486"/>
      <c r="AA38" s="486"/>
      <c r="AB38" s="488"/>
    </row>
    <row r="39" spans="1:29" s="156" customFormat="1" ht="17.25" customHeight="1" x14ac:dyDescent="0.25">
      <c r="A39" s="162"/>
      <c r="B39" s="219" t="s">
        <v>761</v>
      </c>
      <c r="C39" s="220"/>
      <c r="D39" s="220"/>
      <c r="E39" s="221"/>
      <c r="F39" s="221"/>
      <c r="G39" s="221"/>
      <c r="H39" s="221"/>
      <c r="I39" s="221"/>
      <c r="J39" s="221"/>
      <c r="K39" s="221"/>
      <c r="L39" s="222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05"/>
      <c r="AB39" s="173"/>
      <c r="AC39" s="138"/>
    </row>
    <row r="40" spans="1:29" s="156" customFormat="1" ht="19.5" customHeight="1" x14ac:dyDescent="0.2">
      <c r="A40" s="223"/>
      <c r="B40" s="527" t="s">
        <v>762</v>
      </c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224"/>
      <c r="Q40" s="225"/>
      <c r="R40" s="185"/>
      <c r="S40" s="226"/>
      <c r="T40" s="226"/>
      <c r="U40" s="226"/>
      <c r="V40" s="226"/>
      <c r="W40" s="226"/>
      <c r="X40" s="226"/>
      <c r="Y40" s="226"/>
      <c r="Z40" s="226"/>
      <c r="AA40" s="227"/>
      <c r="AB40" s="228"/>
    </row>
    <row r="41" spans="1:29" ht="16.149999999999999" customHeight="1" x14ac:dyDescent="0.2">
      <c r="A41" s="199"/>
      <c r="B41" s="531" t="s">
        <v>808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3"/>
      <c r="AB41" s="173"/>
    </row>
    <row r="42" spans="1:29" s="156" customFormat="1" ht="18.75" customHeight="1" x14ac:dyDescent="0.2">
      <c r="A42" s="229"/>
      <c r="B42" s="485" t="s">
        <v>623</v>
      </c>
      <c r="C42" s="486"/>
      <c r="D42" s="486"/>
      <c r="E42" s="486"/>
      <c r="F42" s="486"/>
      <c r="G42" s="486"/>
      <c r="H42" s="486"/>
      <c r="AA42" s="228"/>
      <c r="AB42" s="228"/>
    </row>
    <row r="43" spans="1:29" ht="20.25" customHeight="1" x14ac:dyDescent="0.2">
      <c r="A43" s="199"/>
      <c r="B43" s="349" t="s">
        <v>796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90"/>
      <c r="AB43" s="173"/>
    </row>
    <row r="44" spans="1:29" ht="18.600000000000001" customHeight="1" x14ac:dyDescent="0.2">
      <c r="A44" s="199"/>
      <c r="B44" s="534" t="s">
        <v>138</v>
      </c>
      <c r="C44" s="534"/>
      <c r="D44" s="534"/>
      <c r="E44" s="534"/>
      <c r="F44" s="534"/>
      <c r="G44" s="535"/>
      <c r="H44" s="535"/>
      <c r="I44" s="535"/>
      <c r="J44" s="535"/>
      <c r="K44" s="535"/>
      <c r="L44" s="535"/>
      <c r="M44" s="535"/>
      <c r="N44" s="535"/>
      <c r="O44" s="145"/>
      <c r="P44" s="458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173"/>
    </row>
    <row r="45" spans="1:29" ht="21.95" customHeight="1" x14ac:dyDescent="0.2">
      <c r="A45" s="199"/>
      <c r="B45" s="349" t="s">
        <v>766</v>
      </c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90"/>
      <c r="AB45" s="173"/>
    </row>
    <row r="46" spans="1:29" ht="15" x14ac:dyDescent="0.2">
      <c r="A46" s="199"/>
      <c r="B46" s="523" t="s">
        <v>112</v>
      </c>
      <c r="C46" s="524"/>
      <c r="D46" s="524"/>
      <c r="E46" s="524"/>
      <c r="F46" s="524"/>
      <c r="G46" s="524"/>
      <c r="H46" s="524"/>
      <c r="I46" s="524"/>
      <c r="L46" s="218"/>
      <c r="AB46" s="173"/>
    </row>
    <row r="47" spans="1:29" ht="23.45" customHeight="1" x14ac:dyDescent="0.2">
      <c r="A47" s="199"/>
      <c r="B47" s="476" t="s">
        <v>151</v>
      </c>
      <c r="C47" s="477"/>
      <c r="D47" s="477"/>
      <c r="E47" s="478"/>
      <c r="F47" s="452"/>
      <c r="G47" s="453"/>
      <c r="H47" s="454"/>
      <c r="I47" s="230"/>
      <c r="J47" s="482" t="s">
        <v>764</v>
      </c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4"/>
    </row>
    <row r="48" spans="1:29" ht="20.100000000000001" customHeight="1" x14ac:dyDescent="0.2">
      <c r="A48" s="199"/>
      <c r="B48" s="231" t="s">
        <v>208</v>
      </c>
      <c r="C48" s="231"/>
      <c r="D48" s="231"/>
      <c r="E48" s="232"/>
      <c r="F48" s="452"/>
      <c r="G48" s="453"/>
      <c r="H48" s="454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173"/>
    </row>
    <row r="49" spans="1:56" ht="20.100000000000001" customHeight="1" x14ac:dyDescent="0.2">
      <c r="A49" s="199"/>
      <c r="B49" s="232" t="s">
        <v>43</v>
      </c>
      <c r="C49" s="233"/>
      <c r="D49" s="233"/>
      <c r="E49" s="233"/>
      <c r="F49" s="452"/>
      <c r="G49" s="453"/>
      <c r="H49" s="454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173"/>
    </row>
    <row r="50" spans="1:56" ht="20.100000000000001" customHeight="1" x14ac:dyDescent="0.2">
      <c r="A50" s="199"/>
      <c r="B50" s="232" t="s">
        <v>42</v>
      </c>
      <c r="C50" s="233"/>
      <c r="D50" s="233"/>
      <c r="E50" s="233"/>
      <c r="F50" s="452"/>
      <c r="G50" s="453"/>
      <c r="H50" s="454"/>
      <c r="J50" s="471" t="s">
        <v>636</v>
      </c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3"/>
    </row>
    <row r="51" spans="1:56" ht="21.75" customHeight="1" x14ac:dyDescent="0.2">
      <c r="A51" s="199"/>
      <c r="B51" s="456" t="s">
        <v>781</v>
      </c>
      <c r="C51" s="457"/>
      <c r="D51" s="457"/>
      <c r="E51" s="457"/>
      <c r="F51" s="455"/>
      <c r="G51" s="455"/>
      <c r="H51" s="455"/>
      <c r="I51" s="145"/>
      <c r="J51" s="510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2"/>
    </row>
    <row r="52" spans="1:56" ht="15" customHeight="1" x14ac:dyDescent="0.2">
      <c r="A52" s="199"/>
      <c r="B52" s="450"/>
      <c r="C52" s="451"/>
      <c r="D52" s="451"/>
      <c r="E52" s="451"/>
      <c r="F52" s="420"/>
      <c r="G52" s="420"/>
      <c r="H52" s="420"/>
      <c r="I52" s="145"/>
      <c r="J52" s="513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5"/>
    </row>
    <row r="53" spans="1:56" ht="16.5" customHeight="1" x14ac:dyDescent="0.2">
      <c r="A53" s="199"/>
      <c r="B53" s="450"/>
      <c r="C53" s="451"/>
      <c r="D53" s="451"/>
      <c r="E53" s="451"/>
      <c r="F53" s="420"/>
      <c r="G53" s="420"/>
      <c r="H53" s="420"/>
      <c r="I53" s="145"/>
      <c r="J53" s="513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5"/>
      <c r="AF53" s="174"/>
    </row>
    <row r="54" spans="1:56" ht="9" customHeight="1" x14ac:dyDescent="0.2">
      <c r="A54" s="199"/>
      <c r="B54" s="530"/>
      <c r="C54" s="451"/>
      <c r="D54" s="451"/>
      <c r="E54" s="451"/>
      <c r="F54" s="420"/>
      <c r="G54" s="420"/>
      <c r="H54" s="420"/>
      <c r="I54" s="145"/>
      <c r="J54" s="513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5"/>
      <c r="AF54" s="174"/>
    </row>
    <row r="55" spans="1:56" ht="3" customHeight="1" x14ac:dyDescent="0.2">
      <c r="A55" s="199"/>
      <c r="B55" s="423"/>
      <c r="C55" s="424"/>
      <c r="D55" s="424"/>
      <c r="E55" s="424"/>
      <c r="F55" s="425"/>
      <c r="G55" s="425"/>
      <c r="H55" s="425"/>
      <c r="I55" s="426"/>
      <c r="J55" s="513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5"/>
    </row>
    <row r="56" spans="1:56" ht="6" customHeight="1" x14ac:dyDescent="0.2">
      <c r="A56" s="235"/>
      <c r="B56" s="433"/>
      <c r="C56" s="434"/>
      <c r="D56" s="434"/>
      <c r="E56" s="434"/>
      <c r="F56" s="529"/>
      <c r="G56" s="529"/>
      <c r="H56" s="529"/>
      <c r="I56" s="236"/>
      <c r="J56" s="516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8"/>
    </row>
    <row r="57" spans="1:56" ht="9" customHeight="1" x14ac:dyDescent="0.2">
      <c r="C57" s="145"/>
      <c r="D57" s="145"/>
      <c r="E57" s="145"/>
      <c r="F57" s="145"/>
      <c r="G57" s="145"/>
      <c r="H57" s="145"/>
      <c r="I57" s="139"/>
      <c r="J57" s="145"/>
      <c r="K57" s="144"/>
      <c r="L57" s="145"/>
      <c r="M57" s="145"/>
      <c r="N57" s="218"/>
      <c r="O57" s="145"/>
      <c r="P57" s="145"/>
      <c r="Q57" s="144"/>
      <c r="R57" s="145"/>
      <c r="S57" s="145"/>
      <c r="W57" s="218"/>
      <c r="X57" s="218"/>
      <c r="Y57" s="218"/>
      <c r="Z57" s="145"/>
      <c r="AA57" s="145"/>
    </row>
    <row r="58" spans="1:56" x14ac:dyDescent="0.2">
      <c r="C58" s="145"/>
      <c r="D58" s="145"/>
      <c r="E58" s="145"/>
      <c r="F58" s="145"/>
      <c r="G58" s="145"/>
      <c r="H58" s="145"/>
      <c r="I58" s="139"/>
      <c r="J58" s="145"/>
      <c r="K58" s="144"/>
      <c r="L58" s="145"/>
      <c r="M58" s="145"/>
      <c r="N58" s="218"/>
      <c r="O58" s="145"/>
      <c r="P58" s="145"/>
      <c r="Q58" s="144"/>
      <c r="R58" s="145"/>
      <c r="S58" s="145"/>
      <c r="W58" s="218"/>
      <c r="X58" s="325" t="s">
        <v>689</v>
      </c>
      <c r="Y58" s="430"/>
      <c r="Z58" s="430"/>
      <c r="AA58" s="431"/>
    </row>
    <row r="59" spans="1:56" s="177" customFormat="1" ht="16.5" customHeight="1" x14ac:dyDescent="0.25">
      <c r="A59" s="143" t="s">
        <v>172</v>
      </c>
      <c r="B59" s="237" t="s">
        <v>94</v>
      </c>
      <c r="C59" s="238"/>
      <c r="D59" s="239"/>
      <c r="E59" s="238"/>
      <c r="K59" s="138"/>
      <c r="X59" s="402" t="s">
        <v>690</v>
      </c>
      <c r="Y59" s="403"/>
      <c r="Z59" s="403"/>
      <c r="AA59" s="404"/>
      <c r="AB59" s="138"/>
      <c r="AC59" s="138"/>
      <c r="AD59" s="138"/>
      <c r="AE59" s="138"/>
      <c r="AL59" s="240"/>
      <c r="AM59" s="180"/>
      <c r="AN59" s="138"/>
      <c r="AO59" s="138"/>
      <c r="AQ59" s="138"/>
      <c r="AS59" s="241"/>
      <c r="AT59" s="138"/>
      <c r="AU59" s="138"/>
      <c r="AV59" s="138"/>
      <c r="AW59" s="138"/>
      <c r="AX59" s="138"/>
      <c r="BC59" s="138"/>
      <c r="BD59" s="138"/>
    </row>
    <row r="60" spans="1:56" ht="14.25" customHeight="1" x14ac:dyDescent="0.2">
      <c r="A60" s="218"/>
      <c r="B60" s="242"/>
      <c r="C60" s="151"/>
      <c r="D60" s="151"/>
      <c r="E60" s="414" t="s">
        <v>74</v>
      </c>
      <c r="F60" s="414"/>
      <c r="G60" s="414"/>
      <c r="H60" s="414"/>
      <c r="I60" s="414"/>
      <c r="J60" s="414"/>
      <c r="K60" s="414"/>
      <c r="L60" s="415"/>
      <c r="M60" s="408" t="s">
        <v>73</v>
      </c>
      <c r="N60" s="409"/>
      <c r="O60" s="410"/>
      <c r="P60" s="427" t="s">
        <v>864</v>
      </c>
      <c r="Q60" s="428"/>
      <c r="R60" s="429"/>
      <c r="S60" s="421"/>
      <c r="T60" s="422"/>
      <c r="U60" s="422"/>
      <c r="V60" s="243"/>
      <c r="W60" s="243"/>
      <c r="X60" s="405"/>
      <c r="Y60" s="406"/>
      <c r="Z60" s="406"/>
      <c r="AA60" s="407"/>
      <c r="AL60" s="240"/>
      <c r="AM60" s="180"/>
      <c r="AS60" s="241"/>
    </row>
    <row r="61" spans="1:56" ht="21.75" customHeight="1" x14ac:dyDescent="0.2">
      <c r="A61" s="218"/>
      <c r="B61" s="244"/>
      <c r="C61" s="193"/>
      <c r="D61" s="193"/>
      <c r="E61" s="416"/>
      <c r="F61" s="416"/>
      <c r="G61" s="416"/>
      <c r="H61" s="416"/>
      <c r="I61" s="416"/>
      <c r="J61" s="416"/>
      <c r="K61" s="416"/>
      <c r="L61" s="417"/>
      <c r="M61" s="411">
        <f>SUM(M62:O80)</f>
        <v>0</v>
      </c>
      <c r="N61" s="412"/>
      <c r="O61" s="413"/>
      <c r="P61" s="411">
        <f>SUM(P62:R80)</f>
        <v>0</v>
      </c>
      <c r="Q61" s="412"/>
      <c r="R61" s="413"/>
      <c r="S61" s="418"/>
      <c r="T61" s="419"/>
      <c r="U61" s="419"/>
      <c r="V61" s="245"/>
      <c r="W61" s="245"/>
      <c r="X61" s="399"/>
      <c r="Y61" s="400"/>
      <c r="Z61" s="400"/>
      <c r="AA61" s="401"/>
      <c r="AK61" s="240"/>
      <c r="AL61" s="180"/>
      <c r="AR61" s="241"/>
    </row>
    <row r="62" spans="1:56" ht="21.75" customHeight="1" x14ac:dyDescent="0.2">
      <c r="A62" s="246"/>
      <c r="B62" s="334" t="s">
        <v>296</v>
      </c>
      <c r="C62" s="335"/>
      <c r="D62" s="336"/>
      <c r="E62" s="317" t="s">
        <v>152</v>
      </c>
      <c r="F62" s="318"/>
      <c r="G62" s="318"/>
      <c r="H62" s="318"/>
      <c r="I62" s="318"/>
      <c r="J62" s="318"/>
      <c r="K62" s="318"/>
      <c r="L62" s="319"/>
      <c r="M62" s="320">
        <f>SUM(P62:AA62)</f>
        <v>0</v>
      </c>
      <c r="N62" s="321"/>
      <c r="O62" s="322"/>
      <c r="P62" s="383"/>
      <c r="Q62" s="384"/>
      <c r="R62" s="385"/>
      <c r="S62" s="328"/>
      <c r="T62" s="329"/>
      <c r="U62" s="329"/>
      <c r="V62" s="329"/>
      <c r="W62" s="329"/>
      <c r="X62" s="329"/>
      <c r="Y62" s="329"/>
      <c r="Z62" s="329"/>
      <c r="AA62" s="329"/>
      <c r="AF62" s="174"/>
      <c r="AK62" s="240"/>
      <c r="AL62" s="180"/>
      <c r="AR62" s="241"/>
    </row>
    <row r="63" spans="1:56" ht="21.75" customHeight="1" x14ac:dyDescent="0.2">
      <c r="A63" s="246"/>
      <c r="B63" s="337"/>
      <c r="C63" s="338"/>
      <c r="D63" s="339"/>
      <c r="E63" s="317" t="s">
        <v>719</v>
      </c>
      <c r="F63" s="318"/>
      <c r="G63" s="318"/>
      <c r="H63" s="318"/>
      <c r="I63" s="318"/>
      <c r="J63" s="318"/>
      <c r="K63" s="318"/>
      <c r="L63" s="319"/>
      <c r="M63" s="320">
        <f>SUM(P63:AA63)</f>
        <v>0</v>
      </c>
      <c r="N63" s="321"/>
      <c r="O63" s="322"/>
      <c r="P63" s="383"/>
      <c r="Q63" s="384"/>
      <c r="R63" s="385"/>
      <c r="S63" s="250"/>
      <c r="T63" s="250"/>
      <c r="U63" s="250"/>
      <c r="V63" s="250"/>
      <c r="W63" s="250"/>
      <c r="X63" s="386" t="s">
        <v>687</v>
      </c>
      <c r="Y63" s="387"/>
      <c r="Z63" s="387"/>
      <c r="AA63" s="388"/>
      <c r="AF63" s="174"/>
      <c r="AK63" s="240"/>
      <c r="AL63" s="180"/>
      <c r="AR63" s="241"/>
    </row>
    <row r="64" spans="1:56" ht="21.75" customHeight="1" x14ac:dyDescent="0.2">
      <c r="A64" s="246"/>
      <c r="B64" s="337"/>
      <c r="C64" s="338"/>
      <c r="D64" s="339"/>
      <c r="E64" s="317" t="s">
        <v>685</v>
      </c>
      <c r="F64" s="318"/>
      <c r="G64" s="318"/>
      <c r="H64" s="318"/>
      <c r="I64" s="318"/>
      <c r="J64" s="318"/>
      <c r="K64" s="318"/>
      <c r="L64" s="319"/>
      <c r="M64" s="320">
        <f>SUM(mb1jahr)</f>
        <v>0</v>
      </c>
      <c r="N64" s="321"/>
      <c r="O64" s="322"/>
      <c r="P64" s="383"/>
      <c r="Q64" s="384"/>
      <c r="R64" s="385"/>
      <c r="S64" s="250"/>
      <c r="T64" s="250"/>
      <c r="U64" s="250"/>
      <c r="V64" s="250"/>
      <c r="W64" s="250"/>
      <c r="X64" s="389">
        <v>51</v>
      </c>
      <c r="Y64" s="390"/>
      <c r="Z64" s="390"/>
      <c r="AA64" s="391"/>
      <c r="AF64" s="174"/>
      <c r="AK64" s="240"/>
      <c r="AL64" s="180"/>
      <c r="AR64" s="241"/>
    </row>
    <row r="65" spans="1:45" ht="21.75" customHeight="1" x14ac:dyDescent="0.2">
      <c r="A65" s="246"/>
      <c r="B65" s="337"/>
      <c r="C65" s="338"/>
      <c r="D65" s="339"/>
      <c r="E65" s="317" t="s">
        <v>720</v>
      </c>
      <c r="F65" s="318"/>
      <c r="G65" s="318"/>
      <c r="H65" s="318"/>
      <c r="I65" s="318"/>
      <c r="J65" s="318"/>
      <c r="K65" s="318"/>
      <c r="L65" s="319"/>
      <c r="M65" s="320">
        <f>SUM(P65:AA65)</f>
        <v>0</v>
      </c>
      <c r="N65" s="321"/>
      <c r="O65" s="322"/>
      <c r="P65" s="383"/>
      <c r="Q65" s="384"/>
      <c r="R65" s="385"/>
      <c r="S65" s="250"/>
      <c r="T65" s="250"/>
      <c r="U65" s="250"/>
      <c r="V65" s="250"/>
      <c r="W65" s="250"/>
      <c r="X65" s="250"/>
      <c r="Y65" s="251"/>
      <c r="Z65" s="251"/>
      <c r="AA65" s="251"/>
      <c r="AF65" s="174"/>
      <c r="AK65" s="240"/>
      <c r="AL65" s="180"/>
      <c r="AR65" s="241"/>
    </row>
    <row r="66" spans="1:45" ht="21.75" customHeight="1" x14ac:dyDescent="0.2">
      <c r="A66" s="246"/>
      <c r="B66" s="337"/>
      <c r="C66" s="338"/>
      <c r="D66" s="339"/>
      <c r="E66" s="247" t="s">
        <v>721</v>
      </c>
      <c r="F66" s="248"/>
      <c r="G66" s="248"/>
      <c r="H66" s="248"/>
      <c r="I66" s="248"/>
      <c r="J66" s="248"/>
      <c r="K66" s="248"/>
      <c r="L66" s="249"/>
      <c r="M66" s="320">
        <f>SUM(P66:AA66)</f>
        <v>0</v>
      </c>
      <c r="N66" s="321"/>
      <c r="O66" s="322"/>
      <c r="P66" s="383"/>
      <c r="Q66" s="384"/>
      <c r="R66" s="385"/>
      <c r="S66" s="328"/>
      <c r="T66" s="329"/>
      <c r="U66" s="329"/>
      <c r="V66" s="252"/>
      <c r="W66" s="137"/>
      <c r="X66" s="386" t="s">
        <v>688</v>
      </c>
      <c r="Y66" s="387" t="s">
        <v>669</v>
      </c>
      <c r="Z66" s="387"/>
      <c r="AA66" s="388"/>
      <c r="AF66" s="174"/>
      <c r="AK66" s="240"/>
      <c r="AL66" s="180"/>
      <c r="AR66" s="241"/>
    </row>
    <row r="67" spans="1:45" ht="21.75" customHeight="1" x14ac:dyDescent="0.2">
      <c r="A67" s="246"/>
      <c r="B67" s="337"/>
      <c r="C67" s="338"/>
      <c r="D67" s="339"/>
      <c r="E67" s="317" t="s">
        <v>686</v>
      </c>
      <c r="F67" s="318"/>
      <c r="G67" s="318"/>
      <c r="H67" s="318"/>
      <c r="I67" s="318"/>
      <c r="J67" s="318"/>
      <c r="K67" s="318"/>
      <c r="L67" s="319"/>
      <c r="M67" s="320">
        <f>SUM(mj1jahr)</f>
        <v>0</v>
      </c>
      <c r="N67" s="321"/>
      <c r="O67" s="322"/>
      <c r="P67" s="383"/>
      <c r="Q67" s="384"/>
      <c r="R67" s="385"/>
      <c r="S67" s="328"/>
      <c r="T67" s="329"/>
      <c r="U67" s="329"/>
      <c r="V67" s="250"/>
      <c r="W67" s="250"/>
      <c r="X67" s="435">
        <f>Stdanzahl*Stdpausch</f>
        <v>0</v>
      </c>
      <c r="Y67" s="436"/>
      <c r="Z67" s="436"/>
      <c r="AA67" s="437"/>
      <c r="AK67" s="240"/>
      <c r="AL67" s="180"/>
      <c r="AR67" s="241"/>
    </row>
    <row r="68" spans="1:45" ht="19.5" customHeight="1" x14ac:dyDescent="0.2">
      <c r="A68" s="246"/>
      <c r="B68" s="337"/>
      <c r="C68" s="338"/>
      <c r="D68" s="339"/>
      <c r="E68" s="317" t="s">
        <v>628</v>
      </c>
      <c r="F68" s="318"/>
      <c r="G68" s="318"/>
      <c r="H68" s="318"/>
      <c r="I68" s="318"/>
      <c r="J68" s="318"/>
      <c r="K68" s="318"/>
      <c r="L68" s="319"/>
      <c r="M68" s="320">
        <f>SUM(P68)</f>
        <v>0</v>
      </c>
      <c r="N68" s="321"/>
      <c r="O68" s="322"/>
      <c r="P68" s="383"/>
      <c r="Q68" s="384"/>
      <c r="R68" s="385"/>
      <c r="S68" s="328"/>
      <c r="T68" s="329"/>
      <c r="U68" s="329"/>
      <c r="V68" s="329"/>
      <c r="W68" s="329"/>
      <c r="X68" s="329"/>
      <c r="Y68" s="329"/>
      <c r="Z68" s="329"/>
      <c r="AA68" s="329"/>
      <c r="AE68" s="174"/>
      <c r="AK68" s="240"/>
      <c r="AL68" s="180"/>
      <c r="AR68" s="241"/>
    </row>
    <row r="69" spans="1:45" ht="19.5" customHeight="1" x14ac:dyDescent="0.2">
      <c r="A69" s="246"/>
      <c r="B69" s="337"/>
      <c r="C69" s="338"/>
      <c r="D69" s="339"/>
      <c r="E69" s="317" t="s">
        <v>722</v>
      </c>
      <c r="F69" s="318"/>
      <c r="G69" s="318"/>
      <c r="H69" s="318"/>
      <c r="I69" s="318"/>
      <c r="J69" s="318"/>
      <c r="K69" s="318"/>
      <c r="L69" s="319"/>
      <c r="M69" s="320">
        <f>SUM(P69)</f>
        <v>0</v>
      </c>
      <c r="N69" s="321"/>
      <c r="O69" s="322"/>
      <c r="P69" s="383"/>
      <c r="Q69" s="384"/>
      <c r="R69" s="385"/>
      <c r="S69" s="328"/>
      <c r="T69" s="329"/>
      <c r="U69" s="329"/>
      <c r="V69" s="432"/>
      <c r="W69" s="432"/>
      <c r="X69" s="432"/>
      <c r="AE69" s="174"/>
      <c r="AK69" s="240"/>
      <c r="AL69" s="180"/>
      <c r="AR69" s="241"/>
    </row>
    <row r="70" spans="1:45" ht="19.5" customHeight="1" x14ac:dyDescent="0.2">
      <c r="A70" s="246"/>
      <c r="B70" s="337"/>
      <c r="C70" s="338"/>
      <c r="D70" s="339"/>
      <c r="E70" s="551" t="s">
        <v>629</v>
      </c>
      <c r="F70" s="552"/>
      <c r="G70" s="552"/>
      <c r="H70" s="552"/>
      <c r="I70" s="552"/>
      <c r="J70" s="552"/>
      <c r="K70" s="552"/>
      <c r="L70" s="553"/>
      <c r="M70" s="320">
        <f>SUM(P70)</f>
        <v>0</v>
      </c>
      <c r="N70" s="321"/>
      <c r="O70" s="322"/>
      <c r="P70" s="383"/>
      <c r="Q70" s="384"/>
      <c r="R70" s="385"/>
      <c r="S70" s="328"/>
      <c r="T70" s="329"/>
      <c r="U70" s="329"/>
      <c r="V70" s="438" t="s">
        <v>852</v>
      </c>
      <c r="W70" s="439"/>
      <c r="X70" s="439"/>
      <c r="Y70" s="439"/>
      <c r="Z70" s="439"/>
      <c r="AA70" s="440"/>
      <c r="AE70" s="174"/>
      <c r="AK70" s="240"/>
      <c r="AL70" s="180"/>
      <c r="AR70" s="241"/>
    </row>
    <row r="71" spans="1:45" ht="24.75" customHeight="1" x14ac:dyDescent="0.2">
      <c r="A71" s="246"/>
      <c r="B71" s="337"/>
      <c r="C71" s="338"/>
      <c r="D71" s="339"/>
      <c r="E71" s="317" t="s">
        <v>591</v>
      </c>
      <c r="F71" s="318"/>
      <c r="G71" s="318"/>
      <c r="H71" s="318"/>
      <c r="I71" s="318"/>
      <c r="J71" s="318"/>
      <c r="K71" s="318"/>
      <c r="L71" s="319"/>
      <c r="M71" s="320">
        <f>SUM(P71:AA71)</f>
        <v>0</v>
      </c>
      <c r="N71" s="321"/>
      <c r="O71" s="322"/>
      <c r="P71" s="383"/>
      <c r="Q71" s="384"/>
      <c r="R71" s="385"/>
      <c r="S71" s="328"/>
      <c r="T71" s="329"/>
      <c r="U71" s="329"/>
      <c r="V71" s="441"/>
      <c r="W71" s="442"/>
      <c r="X71" s="442"/>
      <c r="Y71" s="442"/>
      <c r="Z71" s="442"/>
      <c r="AA71" s="443"/>
      <c r="AE71" s="174"/>
      <c r="AK71" s="240"/>
      <c r="AL71" s="180"/>
      <c r="AR71" s="241"/>
    </row>
    <row r="72" spans="1:45" ht="21.75" customHeight="1" x14ac:dyDescent="0.2">
      <c r="A72" s="246"/>
      <c r="B72" s="337"/>
      <c r="C72" s="338"/>
      <c r="D72" s="339"/>
      <c r="E72" s="317" t="s">
        <v>630</v>
      </c>
      <c r="F72" s="318"/>
      <c r="G72" s="318"/>
      <c r="H72" s="318"/>
      <c r="I72" s="318"/>
      <c r="J72" s="318"/>
      <c r="K72" s="318"/>
      <c r="L72" s="319"/>
      <c r="M72" s="320">
        <f>SUM(P72:AA72)</f>
        <v>0</v>
      </c>
      <c r="N72" s="321"/>
      <c r="O72" s="322"/>
      <c r="P72" s="383"/>
      <c r="Q72" s="384"/>
      <c r="R72" s="385"/>
      <c r="S72" s="328"/>
      <c r="T72" s="329"/>
      <c r="U72" s="329"/>
      <c r="V72" s="441"/>
      <c r="W72" s="442"/>
      <c r="X72" s="442"/>
      <c r="Y72" s="442"/>
      <c r="Z72" s="442"/>
      <c r="AA72" s="443"/>
      <c r="AE72" s="174"/>
      <c r="AK72" s="240"/>
      <c r="AL72" s="180"/>
      <c r="AR72" s="241"/>
    </row>
    <row r="73" spans="1:45" ht="21.75" customHeight="1" x14ac:dyDescent="0.2">
      <c r="A73" s="253"/>
      <c r="B73" s="346"/>
      <c r="C73" s="347"/>
      <c r="D73" s="348"/>
      <c r="E73" s="349" t="s">
        <v>153</v>
      </c>
      <c r="F73" s="350"/>
      <c r="G73" s="350"/>
      <c r="H73" s="350"/>
      <c r="I73" s="350"/>
      <c r="J73" s="350"/>
      <c r="K73" s="350"/>
      <c r="L73" s="351"/>
      <c r="M73" s="320">
        <f>SUM(P73:AA73)</f>
        <v>0</v>
      </c>
      <c r="N73" s="321"/>
      <c r="O73" s="322"/>
      <c r="P73" s="383"/>
      <c r="Q73" s="384"/>
      <c r="R73" s="385"/>
      <c r="S73" s="328"/>
      <c r="T73" s="329"/>
      <c r="U73" s="329"/>
      <c r="V73" s="441"/>
      <c r="W73" s="442"/>
      <c r="X73" s="442"/>
      <c r="Y73" s="442"/>
      <c r="Z73" s="442"/>
      <c r="AA73" s="443"/>
      <c r="AK73" s="240"/>
      <c r="AL73" s="180"/>
      <c r="AR73" s="241"/>
    </row>
    <row r="74" spans="1:45" ht="21.75" customHeight="1" x14ac:dyDescent="0.2">
      <c r="A74" s="246"/>
      <c r="B74" s="334" t="s">
        <v>154</v>
      </c>
      <c r="C74" s="335"/>
      <c r="D74" s="336"/>
      <c r="E74" s="447" t="s">
        <v>155</v>
      </c>
      <c r="F74" s="448"/>
      <c r="G74" s="448"/>
      <c r="H74" s="448"/>
      <c r="I74" s="448"/>
      <c r="J74" s="448"/>
      <c r="K74" s="448"/>
      <c r="L74" s="449"/>
      <c r="M74" s="320">
        <f t="shared" ref="M74:M80" si="0">SUM(P74)</f>
        <v>0</v>
      </c>
      <c r="N74" s="321"/>
      <c r="O74" s="322"/>
      <c r="P74" s="383"/>
      <c r="Q74" s="384"/>
      <c r="R74" s="385"/>
      <c r="S74" s="328"/>
      <c r="T74" s="329"/>
      <c r="U74" s="329"/>
      <c r="V74" s="441"/>
      <c r="W74" s="442"/>
      <c r="X74" s="442"/>
      <c r="Y74" s="442"/>
      <c r="Z74" s="442"/>
      <c r="AA74" s="443"/>
      <c r="AK74" s="240"/>
      <c r="AL74" s="180"/>
      <c r="AR74" s="241"/>
    </row>
    <row r="75" spans="1:45" ht="21.75" customHeight="1" x14ac:dyDescent="0.2">
      <c r="A75" s="246"/>
      <c r="B75" s="337"/>
      <c r="C75" s="338"/>
      <c r="D75" s="339"/>
      <c r="E75" s="317" t="s">
        <v>632</v>
      </c>
      <c r="F75" s="323"/>
      <c r="G75" s="323"/>
      <c r="H75" s="323"/>
      <c r="I75" s="323"/>
      <c r="J75" s="323"/>
      <c r="K75" s="323"/>
      <c r="L75" s="324"/>
      <c r="M75" s="320">
        <f t="shared" si="0"/>
        <v>0</v>
      </c>
      <c r="N75" s="321"/>
      <c r="O75" s="322"/>
      <c r="P75" s="383"/>
      <c r="Q75" s="384"/>
      <c r="R75" s="385"/>
      <c r="S75" s="328"/>
      <c r="T75" s="329"/>
      <c r="U75" s="329"/>
      <c r="V75" s="441"/>
      <c r="W75" s="442"/>
      <c r="X75" s="442"/>
      <c r="Y75" s="442"/>
      <c r="Z75" s="442"/>
      <c r="AA75" s="443"/>
      <c r="AK75" s="240"/>
      <c r="AL75" s="180"/>
      <c r="AR75" s="241"/>
    </row>
    <row r="76" spans="1:45" ht="21.75" customHeight="1" x14ac:dyDescent="0.2">
      <c r="A76" s="246"/>
      <c r="B76" s="346"/>
      <c r="C76" s="347"/>
      <c r="D76" s="348"/>
      <c r="E76" s="317" t="s">
        <v>666</v>
      </c>
      <c r="F76" s="318"/>
      <c r="G76" s="318"/>
      <c r="H76" s="318"/>
      <c r="I76" s="318"/>
      <c r="J76" s="318"/>
      <c r="K76" s="318"/>
      <c r="L76" s="319"/>
      <c r="M76" s="320">
        <f t="shared" si="0"/>
        <v>0</v>
      </c>
      <c r="N76" s="321"/>
      <c r="O76" s="322"/>
      <c r="P76" s="383"/>
      <c r="Q76" s="384"/>
      <c r="R76" s="385"/>
      <c r="S76" s="328"/>
      <c r="T76" s="329"/>
      <c r="U76" s="329"/>
      <c r="V76" s="441"/>
      <c r="W76" s="442"/>
      <c r="X76" s="442"/>
      <c r="Y76" s="442"/>
      <c r="Z76" s="442"/>
      <c r="AA76" s="443"/>
      <c r="AK76" s="240"/>
      <c r="AL76" s="180"/>
      <c r="AR76" s="241"/>
    </row>
    <row r="77" spans="1:45" ht="23.25" customHeight="1" x14ac:dyDescent="0.2">
      <c r="A77" s="246"/>
      <c r="B77" s="334" t="s">
        <v>633</v>
      </c>
      <c r="C77" s="335"/>
      <c r="D77" s="336"/>
      <c r="E77" s="317" t="s">
        <v>156</v>
      </c>
      <c r="F77" s="323"/>
      <c r="G77" s="323"/>
      <c r="H77" s="323"/>
      <c r="I77" s="323"/>
      <c r="J77" s="323"/>
      <c r="K77" s="323"/>
      <c r="L77" s="324"/>
      <c r="M77" s="320">
        <f t="shared" si="0"/>
        <v>0</v>
      </c>
      <c r="N77" s="321"/>
      <c r="O77" s="322"/>
      <c r="P77" s="383"/>
      <c r="Q77" s="384"/>
      <c r="R77" s="385"/>
      <c r="S77" s="328"/>
      <c r="T77" s="329"/>
      <c r="U77" s="329"/>
      <c r="V77" s="441"/>
      <c r="W77" s="442"/>
      <c r="X77" s="442"/>
      <c r="Y77" s="442"/>
      <c r="Z77" s="442"/>
      <c r="AA77" s="443"/>
      <c r="AE77" s="174"/>
      <c r="AK77" s="240"/>
      <c r="AL77" s="180"/>
      <c r="AR77" s="241"/>
    </row>
    <row r="78" spans="1:45" ht="29.25" customHeight="1" x14ac:dyDescent="0.2">
      <c r="A78" s="246"/>
      <c r="B78" s="337"/>
      <c r="C78" s="338"/>
      <c r="D78" s="339"/>
      <c r="E78" s="545" t="s">
        <v>634</v>
      </c>
      <c r="F78" s="546"/>
      <c r="G78" s="546"/>
      <c r="H78" s="546"/>
      <c r="I78" s="546"/>
      <c r="J78" s="546"/>
      <c r="K78" s="546"/>
      <c r="L78" s="547"/>
      <c r="M78" s="320">
        <f t="shared" si="0"/>
        <v>0</v>
      </c>
      <c r="N78" s="321"/>
      <c r="O78" s="322"/>
      <c r="P78" s="383"/>
      <c r="Q78" s="384"/>
      <c r="R78" s="385"/>
      <c r="S78" s="250"/>
      <c r="T78" s="250"/>
      <c r="U78" s="250"/>
      <c r="V78" s="441"/>
      <c r="W78" s="442"/>
      <c r="X78" s="442"/>
      <c r="Y78" s="442"/>
      <c r="Z78" s="442"/>
      <c r="AA78" s="443"/>
      <c r="AE78" s="174"/>
      <c r="AK78" s="240"/>
      <c r="AL78" s="180"/>
      <c r="AR78" s="241"/>
    </row>
    <row r="79" spans="1:45" ht="24.75" customHeight="1" x14ac:dyDescent="0.2">
      <c r="A79" s="246"/>
      <c r="B79" s="340"/>
      <c r="C79" s="341"/>
      <c r="D79" s="342"/>
      <c r="E79" s="317" t="s">
        <v>635</v>
      </c>
      <c r="F79" s="318"/>
      <c r="G79" s="318"/>
      <c r="H79" s="318"/>
      <c r="I79" s="318"/>
      <c r="J79" s="318"/>
      <c r="K79" s="318"/>
      <c r="L79" s="319"/>
      <c r="M79" s="320">
        <f t="shared" si="0"/>
        <v>0</v>
      </c>
      <c r="N79" s="321"/>
      <c r="O79" s="322"/>
      <c r="P79" s="383"/>
      <c r="Q79" s="384"/>
      <c r="R79" s="385"/>
      <c r="S79" s="328"/>
      <c r="T79" s="329"/>
      <c r="U79" s="329"/>
      <c r="V79" s="441"/>
      <c r="W79" s="442"/>
      <c r="X79" s="442"/>
      <c r="Y79" s="442"/>
      <c r="Z79" s="442"/>
      <c r="AA79" s="443"/>
      <c r="AK79" s="240"/>
      <c r="AL79" s="180"/>
      <c r="AR79" s="241"/>
    </row>
    <row r="80" spans="1:45" ht="33" customHeight="1" x14ac:dyDescent="0.2">
      <c r="A80" s="254"/>
      <c r="B80" s="343" t="s">
        <v>768</v>
      </c>
      <c r="C80" s="344"/>
      <c r="D80" s="345"/>
      <c r="E80" s="314" t="s">
        <v>769</v>
      </c>
      <c r="F80" s="315"/>
      <c r="G80" s="315"/>
      <c r="H80" s="315"/>
      <c r="I80" s="315"/>
      <c r="J80" s="315"/>
      <c r="K80" s="315"/>
      <c r="L80" s="316"/>
      <c r="M80" s="542">
        <f t="shared" si="0"/>
        <v>0</v>
      </c>
      <c r="N80" s="543"/>
      <c r="O80" s="544"/>
      <c r="P80" s="539"/>
      <c r="Q80" s="540"/>
      <c r="R80" s="541"/>
      <c r="S80" s="328"/>
      <c r="T80" s="329"/>
      <c r="U80" s="329"/>
      <c r="V80" s="444"/>
      <c r="W80" s="445"/>
      <c r="X80" s="445"/>
      <c r="Y80" s="445"/>
      <c r="Z80" s="445"/>
      <c r="AA80" s="446"/>
      <c r="AL80" s="240"/>
      <c r="AM80" s="180"/>
      <c r="AS80" s="241"/>
    </row>
    <row r="81" spans="1:45" ht="17.25" customHeight="1" x14ac:dyDescent="0.2">
      <c r="A81" s="218"/>
      <c r="B81" s="282" t="s">
        <v>592</v>
      </c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L81" s="240"/>
      <c r="AM81" s="180"/>
      <c r="AS81" s="241"/>
    </row>
    <row r="82" spans="1:45" ht="17.25" customHeight="1" x14ac:dyDescent="0.2">
      <c r="A82" s="218"/>
      <c r="B82" s="548" t="s">
        <v>667</v>
      </c>
      <c r="C82" s="549"/>
      <c r="D82" s="549"/>
      <c r="E82" s="549"/>
      <c r="F82" s="549"/>
      <c r="G82" s="549"/>
      <c r="H82" s="549"/>
      <c r="I82" s="549"/>
      <c r="J82" s="549"/>
      <c r="K82" s="550"/>
      <c r="L82" s="536">
        <f>SUM(kostges-Tnentgeltges)</f>
        <v>0</v>
      </c>
      <c r="M82" s="537"/>
      <c r="N82" s="538"/>
      <c r="O82" s="330">
        <v>1</v>
      </c>
      <c r="P82" s="331"/>
      <c r="Q82" s="332"/>
      <c r="R82" s="234"/>
      <c r="S82" s="234"/>
      <c r="T82" s="234"/>
      <c r="U82" s="325" t="s">
        <v>297</v>
      </c>
      <c r="V82" s="326"/>
      <c r="W82" s="326"/>
      <c r="X82" s="327"/>
      <c r="Y82" s="234"/>
      <c r="Z82" s="255"/>
      <c r="AA82" s="255"/>
      <c r="AC82" s="174"/>
      <c r="AL82" s="240"/>
      <c r="AM82" s="180"/>
      <c r="AS82" s="241"/>
    </row>
    <row r="83" spans="1:45" ht="14.25" customHeight="1" x14ac:dyDescent="0.2">
      <c r="A83" s="218"/>
      <c r="B83" s="560" t="s">
        <v>587</v>
      </c>
      <c r="C83" s="561"/>
      <c r="D83" s="561"/>
      <c r="E83" s="561"/>
      <c r="F83" s="561"/>
      <c r="G83" s="561"/>
      <c r="H83" s="561"/>
      <c r="I83" s="561"/>
      <c r="J83" s="561"/>
      <c r="K83" s="562"/>
      <c r="L83" s="536">
        <f>SUM(kostges-esfges-Tnentgeltges)</f>
        <v>0</v>
      </c>
      <c r="M83" s="537"/>
      <c r="N83" s="538"/>
      <c r="O83" s="330" t="str">
        <f>IF(L82=0,"",SUM(aktivkofi)/L82)</f>
        <v/>
      </c>
      <c r="P83" s="331"/>
      <c r="Q83" s="332"/>
      <c r="R83" s="174"/>
      <c r="S83" s="174"/>
      <c r="T83" s="174"/>
      <c r="U83" s="567" t="s">
        <v>768</v>
      </c>
      <c r="V83" s="568"/>
      <c r="W83" s="283" t="str">
        <f>IF(kostges-tngebührenges-spendenges-einnahmenges=0,"",SUM(esfges/(kostges-tngebührenges-spendenges-einnahmenges)))</f>
        <v/>
      </c>
      <c r="X83" s="284"/>
      <c r="Y83" s="174"/>
      <c r="Z83" s="255"/>
      <c r="AA83" s="255"/>
      <c r="AB83" s="256"/>
      <c r="AL83" s="240"/>
      <c r="AM83" s="180"/>
      <c r="AS83" s="241"/>
    </row>
    <row r="84" spans="1:45" ht="8.4499999999999993" customHeight="1" x14ac:dyDescent="0.2">
      <c r="A84" s="218"/>
      <c r="B84" s="257">
        <f>SUM(M80:O80)</f>
        <v>0</v>
      </c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569"/>
      <c r="V84" s="570"/>
      <c r="W84" s="285"/>
      <c r="X84" s="286"/>
      <c r="Y84" s="257"/>
      <c r="Z84" s="257"/>
      <c r="AA84" s="257"/>
      <c r="AB84" s="256"/>
      <c r="AL84" s="240"/>
      <c r="AM84" s="180"/>
      <c r="AS84" s="241"/>
    </row>
    <row r="85" spans="1:45" ht="8.4499999999999993" customHeight="1" x14ac:dyDescent="0.2">
      <c r="A85" s="218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16"/>
      <c r="V85" s="216"/>
      <c r="W85" s="258"/>
      <c r="X85" s="258"/>
      <c r="Y85" s="257"/>
      <c r="Z85" s="257"/>
      <c r="AA85" s="257"/>
      <c r="AB85" s="256"/>
      <c r="AL85" s="240"/>
      <c r="AM85" s="180"/>
      <c r="AS85" s="241"/>
    </row>
    <row r="86" spans="1:45" ht="16.5" customHeight="1" x14ac:dyDescent="0.2">
      <c r="A86" s="218"/>
      <c r="B86" s="563" t="s">
        <v>668</v>
      </c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5"/>
      <c r="AL86" s="240"/>
      <c r="AM86" s="180"/>
      <c r="AS86" s="241"/>
    </row>
    <row r="87" spans="1:45" ht="118.15" customHeight="1" x14ac:dyDescent="0.2">
      <c r="A87" s="218"/>
      <c r="B87" s="557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9"/>
      <c r="AL87" s="240"/>
      <c r="AM87" s="180"/>
      <c r="AS87" s="241"/>
    </row>
    <row r="88" spans="1:45" ht="6" customHeight="1" x14ac:dyDescent="0.2">
      <c r="A88" s="218"/>
      <c r="B88" s="555"/>
      <c r="C88" s="380"/>
      <c r="D88" s="380"/>
      <c r="E88" s="380"/>
      <c r="F88" s="380"/>
      <c r="G88" s="380"/>
      <c r="H88" s="380"/>
      <c r="I88" s="380"/>
      <c r="J88" s="380"/>
      <c r="AD88" s="139"/>
      <c r="AL88" s="240"/>
      <c r="AM88" s="180"/>
      <c r="AS88" s="241"/>
    </row>
    <row r="89" spans="1:45" ht="12.75" customHeight="1" x14ac:dyDescent="0.2">
      <c r="A89" s="259"/>
      <c r="B89" s="259" t="s">
        <v>319</v>
      </c>
      <c r="AL89" s="240"/>
      <c r="AM89" s="180"/>
      <c r="AS89" s="241"/>
    </row>
    <row r="90" spans="1:45" ht="12.75" customHeight="1" x14ac:dyDescent="0.2">
      <c r="A90" s="218"/>
      <c r="B90" s="163" t="s">
        <v>115</v>
      </c>
      <c r="K90" s="156" t="s">
        <v>321</v>
      </c>
      <c r="Z90" s="554"/>
      <c r="AA90" s="333"/>
      <c r="AL90" s="240"/>
      <c r="AM90" s="180"/>
      <c r="AS90" s="241"/>
    </row>
    <row r="91" spans="1:45" ht="12.75" customHeight="1" x14ac:dyDescent="0.2">
      <c r="A91" s="218"/>
      <c r="B91" s="163" t="s">
        <v>320</v>
      </c>
      <c r="C91" s="260"/>
      <c r="D91" s="260"/>
      <c r="I91" s="145"/>
      <c r="Z91" s="333"/>
      <c r="AA91" s="333"/>
      <c r="AL91" s="240"/>
      <c r="AM91" s="180"/>
      <c r="AS91" s="241"/>
    </row>
    <row r="92" spans="1:45" ht="12.75" customHeight="1" x14ac:dyDescent="0.2">
      <c r="A92" s="218"/>
      <c r="B92" s="163"/>
      <c r="C92" s="260"/>
      <c r="D92" s="260"/>
      <c r="F92" s="190"/>
      <c r="H92" s="556" t="s">
        <v>157</v>
      </c>
      <c r="I92" s="556"/>
      <c r="J92" s="556"/>
      <c r="K92" s="556"/>
      <c r="L92" s="556"/>
      <c r="M92" s="556"/>
      <c r="N92" s="556"/>
      <c r="O92" s="556"/>
      <c r="Q92" s="190" t="s">
        <v>691</v>
      </c>
      <c r="Y92" s="282" t="s">
        <v>672</v>
      </c>
      <c r="Z92" s="333"/>
      <c r="AA92" s="333"/>
      <c r="AL92" s="240"/>
      <c r="AM92" s="180"/>
    </row>
    <row r="93" spans="1:45" x14ac:dyDescent="0.2">
      <c r="B93" s="287" t="str">
        <f>IF(BAges&gt;0,"Bundesagentur für Arbeit"," ")</f>
        <v xml:space="preserve"> </v>
      </c>
      <c r="C93" s="288"/>
      <c r="D93" s="288"/>
      <c r="E93" s="288"/>
      <c r="F93" s="288"/>
      <c r="G93" s="288"/>
      <c r="H93" s="289"/>
      <c r="I93" s="289"/>
      <c r="J93" s="289"/>
      <c r="K93" s="289"/>
      <c r="L93" s="289"/>
      <c r="M93" s="289"/>
      <c r="N93" s="289"/>
      <c r="O93" s="289"/>
      <c r="P93" s="99"/>
      <c r="Q93" s="289"/>
      <c r="R93" s="289"/>
      <c r="S93" s="289"/>
      <c r="T93" s="289"/>
      <c r="U93" s="289"/>
      <c r="V93" s="289"/>
      <c r="W93" s="289"/>
      <c r="X93" s="99"/>
      <c r="Y93" s="356"/>
      <c r="Z93" s="356"/>
      <c r="AA93" s="356"/>
      <c r="AB93" s="356"/>
      <c r="AC93" s="356"/>
      <c r="AD93" s="174"/>
    </row>
    <row r="94" spans="1:45" x14ac:dyDescent="0.2">
      <c r="B94" s="287" t="str">
        <f>IF(mastdges&gt;0,"MASTD"," ")</f>
        <v xml:space="preserve"> </v>
      </c>
      <c r="C94" s="288"/>
      <c r="D94" s="288"/>
      <c r="E94" s="288"/>
      <c r="F94" s="288"/>
      <c r="G94" s="288"/>
      <c r="H94" s="289"/>
      <c r="I94" s="289"/>
      <c r="J94" s="289"/>
      <c r="K94" s="289"/>
      <c r="L94" s="289"/>
      <c r="M94" s="289"/>
      <c r="N94" s="289"/>
      <c r="O94" s="289"/>
      <c r="P94" s="99"/>
      <c r="Q94" s="289"/>
      <c r="R94" s="289"/>
      <c r="S94" s="289"/>
      <c r="T94" s="289"/>
      <c r="U94" s="289"/>
      <c r="V94" s="289"/>
      <c r="W94" s="289"/>
      <c r="X94" s="99"/>
      <c r="Y94" s="356"/>
      <c r="Z94" s="356"/>
      <c r="AA94" s="356"/>
      <c r="AB94" s="356"/>
      <c r="AC94" s="356"/>
    </row>
    <row r="95" spans="1:45" x14ac:dyDescent="0.2">
      <c r="B95" s="287" t="str">
        <f>IF(mbges&gt;0,"Mittel BM"," ")</f>
        <v xml:space="preserve"> </v>
      </c>
      <c r="C95" s="288"/>
      <c r="D95" s="288"/>
      <c r="E95" s="288"/>
      <c r="F95" s="288"/>
      <c r="G95" s="288"/>
      <c r="H95" s="289"/>
      <c r="I95" s="289"/>
      <c r="J95" s="289"/>
      <c r="K95" s="289"/>
      <c r="L95" s="289"/>
      <c r="M95" s="289"/>
      <c r="N95" s="289"/>
      <c r="O95" s="289"/>
      <c r="P95" s="99"/>
      <c r="Q95" s="289"/>
      <c r="R95" s="289"/>
      <c r="S95" s="289"/>
      <c r="T95" s="289"/>
      <c r="U95" s="289"/>
      <c r="V95" s="289"/>
      <c r="W95" s="289"/>
      <c r="X95" s="99"/>
      <c r="Y95" s="356"/>
      <c r="Z95" s="356"/>
      <c r="AA95" s="356"/>
      <c r="AB95" s="356"/>
      <c r="AC95" s="356"/>
      <c r="AD95"/>
    </row>
    <row r="96" spans="1:45" x14ac:dyDescent="0.2">
      <c r="B96" s="287" t="str">
        <f>IF(mffkiges&gt;0,"Mittel MFFKI"," ")</f>
        <v xml:space="preserve"> </v>
      </c>
      <c r="C96" s="288"/>
      <c r="D96" s="288"/>
      <c r="E96" s="288"/>
      <c r="F96" s="288"/>
      <c r="G96" s="288"/>
      <c r="H96" s="289"/>
      <c r="I96" s="289"/>
      <c r="J96" s="289"/>
      <c r="K96" s="289"/>
      <c r="L96" s="289"/>
      <c r="M96" s="289"/>
      <c r="N96" s="289"/>
      <c r="O96" s="289"/>
      <c r="P96" s="99"/>
      <c r="Q96" s="289"/>
      <c r="R96" s="289"/>
      <c r="S96" s="289"/>
      <c r="T96" s="289"/>
      <c r="U96" s="289"/>
      <c r="V96" s="289"/>
      <c r="W96" s="289"/>
      <c r="X96" s="99"/>
      <c r="Y96" s="356"/>
      <c r="Z96" s="356"/>
      <c r="AA96" s="356"/>
      <c r="AB96" s="356"/>
      <c r="AC96" s="356"/>
    </row>
    <row r="97" spans="1:39" x14ac:dyDescent="0.2">
      <c r="B97" s="287" t="str">
        <f>IF(mwgges&gt;0,"Mittel MWG"," ")</f>
        <v xml:space="preserve"> </v>
      </c>
      <c r="C97" s="288"/>
      <c r="D97" s="288"/>
      <c r="E97" s="288"/>
      <c r="F97" s="288"/>
      <c r="G97" s="288"/>
      <c r="H97" s="289"/>
      <c r="I97" s="289"/>
      <c r="J97" s="289"/>
      <c r="K97" s="289"/>
      <c r="L97" s="289"/>
      <c r="M97" s="289"/>
      <c r="N97" s="289"/>
      <c r="O97" s="289"/>
      <c r="P97" s="99"/>
      <c r="Q97" s="289"/>
      <c r="R97" s="289"/>
      <c r="S97" s="289"/>
      <c r="T97" s="289"/>
      <c r="U97" s="289"/>
      <c r="V97" s="289"/>
      <c r="W97" s="289"/>
      <c r="X97" s="99"/>
      <c r="Y97" s="356"/>
      <c r="Z97" s="356"/>
      <c r="AA97" s="356"/>
      <c r="AB97" s="356"/>
      <c r="AC97" s="356"/>
    </row>
    <row r="98" spans="1:39" x14ac:dyDescent="0.2">
      <c r="B98" s="287" t="str">
        <f>IF(mjges&gt;0,"Mittel JM"," ")</f>
        <v xml:space="preserve"> </v>
      </c>
      <c r="C98" s="288"/>
      <c r="D98" s="288"/>
      <c r="E98" s="288"/>
      <c r="F98" s="288"/>
      <c r="G98" s="288"/>
      <c r="H98" s="289"/>
      <c r="I98" s="289"/>
      <c r="J98" s="289"/>
      <c r="K98" s="289"/>
      <c r="L98" s="289"/>
      <c r="M98" s="289"/>
      <c r="N98" s="289"/>
      <c r="O98" s="289"/>
      <c r="P98" s="99"/>
      <c r="Q98" s="289"/>
      <c r="R98" s="289"/>
      <c r="S98" s="289"/>
      <c r="T98" s="289"/>
      <c r="U98" s="289"/>
      <c r="V98" s="289"/>
      <c r="W98" s="289"/>
      <c r="X98" s="99"/>
      <c r="Y98" s="356"/>
      <c r="Z98" s="356"/>
      <c r="AA98" s="356"/>
      <c r="AB98" s="356"/>
      <c r="AC98" s="356"/>
    </row>
    <row r="99" spans="1:39" x14ac:dyDescent="0.2">
      <c r="B99" s="287" t="str">
        <f>IF(mwvlwges&gt;0,"Mittel MWVLW"," ")</f>
        <v xml:space="preserve"> </v>
      </c>
      <c r="C99" s="288"/>
      <c r="D99" s="288"/>
      <c r="E99" s="288"/>
      <c r="F99" s="288"/>
      <c r="G99" s="288"/>
      <c r="H99" s="289"/>
      <c r="I99" s="289"/>
      <c r="J99" s="289"/>
      <c r="K99" s="289"/>
      <c r="L99" s="289"/>
      <c r="M99" s="289"/>
      <c r="N99" s="289"/>
      <c r="O99" s="289"/>
      <c r="P99" s="99"/>
      <c r="Q99" s="289"/>
      <c r="R99" s="289"/>
      <c r="S99" s="289"/>
      <c r="T99" s="289"/>
      <c r="U99" s="289"/>
      <c r="V99" s="289"/>
      <c r="W99" s="289"/>
      <c r="X99" s="99"/>
      <c r="Y99" s="356"/>
      <c r="Z99" s="356"/>
      <c r="AA99" s="356"/>
      <c r="AB99" s="356"/>
      <c r="AC99" s="356"/>
    </row>
    <row r="100" spans="1:39" x14ac:dyDescent="0.2">
      <c r="A100" s="138"/>
      <c r="B100" s="566" t="str">
        <f>IF(mkuemges&gt;0,"Mittel MKUEM"," ")</f>
        <v xml:space="preserve"> </v>
      </c>
      <c r="C100" s="566"/>
      <c r="D100" s="566"/>
      <c r="E100" s="566"/>
      <c r="F100" s="566"/>
      <c r="G100" s="566"/>
      <c r="H100" s="289"/>
      <c r="I100" s="289"/>
      <c r="J100" s="289"/>
      <c r="K100" s="289"/>
      <c r="L100" s="289"/>
      <c r="M100" s="289"/>
      <c r="N100" s="289"/>
      <c r="O100" s="289"/>
      <c r="P100" s="99"/>
      <c r="Q100" s="289"/>
      <c r="R100" s="289"/>
      <c r="S100" s="289"/>
      <c r="T100" s="289"/>
      <c r="U100" s="289"/>
      <c r="V100" s="289"/>
      <c r="W100" s="289"/>
      <c r="X100" s="99"/>
      <c r="Y100" s="356"/>
      <c r="Z100" s="356"/>
      <c r="AA100" s="356"/>
      <c r="AB100" s="356"/>
      <c r="AC100" s="356"/>
    </row>
    <row r="101" spans="1:39" x14ac:dyDescent="0.2">
      <c r="B101" s="287" t="str">
        <f>IF(andlandges&gt;0,"weitere Landesmittel"," ")</f>
        <v xml:space="preserve"> </v>
      </c>
      <c r="C101" s="288"/>
      <c r="D101" s="288"/>
      <c r="E101" s="288"/>
      <c r="F101" s="288"/>
      <c r="G101" s="288"/>
      <c r="H101" s="289"/>
      <c r="I101" s="289"/>
      <c r="J101" s="289"/>
      <c r="K101" s="289"/>
      <c r="L101" s="289"/>
      <c r="M101" s="289"/>
      <c r="N101" s="289"/>
      <c r="O101" s="289"/>
      <c r="P101" s="99"/>
      <c r="Q101" s="289"/>
      <c r="R101" s="289"/>
      <c r="S101" s="289"/>
      <c r="T101" s="289"/>
      <c r="U101" s="289"/>
      <c r="V101" s="289"/>
      <c r="W101" s="289"/>
      <c r="X101" s="99"/>
      <c r="Y101" s="356"/>
      <c r="Z101" s="356"/>
      <c r="AA101" s="356"/>
      <c r="AB101" s="356"/>
      <c r="AC101" s="356"/>
    </row>
    <row r="102" spans="1:39" x14ac:dyDescent="0.2">
      <c r="B102" s="287" t="str">
        <f>IF(komges&gt;0,"Kommunale Mittel"," ")</f>
        <v xml:space="preserve"> </v>
      </c>
      <c r="C102" s="288"/>
      <c r="D102" s="288"/>
      <c r="E102" s="288"/>
      <c r="F102" s="288"/>
      <c r="G102" s="288"/>
      <c r="H102" s="289"/>
      <c r="I102" s="289"/>
      <c r="J102" s="289"/>
      <c r="K102" s="289"/>
      <c r="L102" s="289"/>
      <c r="M102" s="289"/>
      <c r="N102" s="289"/>
      <c r="O102" s="289"/>
      <c r="P102" s="99"/>
      <c r="Q102" s="289"/>
      <c r="R102" s="289"/>
      <c r="S102" s="289"/>
      <c r="T102" s="289"/>
      <c r="U102" s="289"/>
      <c r="V102" s="289"/>
      <c r="W102" s="289"/>
      <c r="X102" s="99"/>
      <c r="Y102" s="356"/>
      <c r="Z102" s="356"/>
      <c r="AA102" s="356"/>
      <c r="AB102" s="356"/>
      <c r="AC102" s="356"/>
    </row>
    <row r="103" spans="1:39" x14ac:dyDescent="0.2">
      <c r="B103" s="287" t="str">
        <f>IF(jobcenterges&gt;0,"Mittel des Jobcenters"," ")</f>
        <v xml:space="preserve"> </v>
      </c>
      <c r="C103" s="288"/>
      <c r="D103" s="288"/>
      <c r="E103" s="288"/>
      <c r="F103" s="288"/>
      <c r="G103" s="288"/>
      <c r="H103" s="289"/>
      <c r="I103" s="289"/>
      <c r="J103" s="289"/>
      <c r="K103" s="289"/>
      <c r="L103" s="289"/>
      <c r="M103" s="289"/>
      <c r="N103" s="289"/>
      <c r="O103" s="289"/>
      <c r="P103" s="99"/>
      <c r="Q103" s="289"/>
      <c r="R103" s="289"/>
      <c r="S103" s="289"/>
      <c r="T103" s="289"/>
      <c r="U103" s="289"/>
      <c r="V103" s="289"/>
      <c r="W103" s="289"/>
      <c r="X103" s="99"/>
      <c r="Y103" s="356"/>
      <c r="Z103" s="356"/>
      <c r="AA103" s="356"/>
      <c r="AB103" s="356"/>
      <c r="AC103" s="356"/>
    </row>
    <row r="104" spans="1:39" ht="15.6" customHeight="1" x14ac:dyDescent="0.2">
      <c r="B104" s="287" t="str">
        <f>IF(sstgoeffentlges&gt;0,"sonstige öffentl. Mittel"," ")</f>
        <v xml:space="preserve"> </v>
      </c>
      <c r="C104" s="288"/>
      <c r="D104" s="288"/>
      <c r="E104" s="288"/>
      <c r="F104" s="288"/>
      <c r="G104" s="288"/>
      <c r="H104" s="289"/>
      <c r="I104" s="289"/>
      <c r="J104" s="289"/>
      <c r="K104" s="289"/>
      <c r="L104" s="289"/>
      <c r="M104" s="289"/>
      <c r="N104" s="289"/>
      <c r="O104" s="289"/>
      <c r="P104" s="99"/>
      <c r="Q104" s="289"/>
      <c r="R104" s="289"/>
      <c r="S104" s="289"/>
      <c r="T104" s="289"/>
      <c r="U104" s="289"/>
      <c r="V104" s="289"/>
      <c r="W104" s="289"/>
      <c r="X104" s="99"/>
      <c r="Y104" s="356"/>
      <c r="Z104" s="356"/>
      <c r="AA104" s="356"/>
      <c r="AB104" s="356"/>
      <c r="AC104" s="356"/>
    </row>
    <row r="105" spans="1:39" x14ac:dyDescent="0.2">
      <c r="B105" s="287" t="str">
        <f>IF(zuschussunternges&gt;0,"Zuschuss von Unternehmen"," ")</f>
        <v xml:space="preserve"> </v>
      </c>
      <c r="C105" s="288"/>
      <c r="D105" s="288"/>
      <c r="E105" s="288"/>
      <c r="F105" s="288"/>
      <c r="G105" s="288"/>
      <c r="H105" s="289"/>
      <c r="I105" s="289"/>
      <c r="J105" s="289"/>
      <c r="K105" s="289"/>
      <c r="L105" s="289"/>
      <c r="M105" s="289"/>
      <c r="N105" s="289"/>
      <c r="O105" s="289"/>
      <c r="P105" s="99"/>
      <c r="Q105" s="289"/>
      <c r="R105" s="289"/>
      <c r="S105" s="289"/>
      <c r="T105" s="289"/>
      <c r="U105" s="289"/>
      <c r="V105" s="289"/>
      <c r="W105" s="289"/>
      <c r="X105" s="99"/>
      <c r="Y105" s="356"/>
      <c r="Z105" s="356"/>
      <c r="AA105" s="356"/>
      <c r="AB105" s="356"/>
      <c r="AC105" s="356"/>
    </row>
    <row r="106" spans="1:39" x14ac:dyDescent="0.2">
      <c r="B106" s="287" t="str">
        <f>IF(spendenges&gt;0,"Spenden"," ")</f>
        <v xml:space="preserve"> </v>
      </c>
      <c r="C106" s="288"/>
      <c r="D106" s="288"/>
      <c r="E106" s="288"/>
      <c r="F106" s="288"/>
      <c r="G106" s="288"/>
      <c r="H106" s="289"/>
      <c r="I106" s="289"/>
      <c r="J106" s="289"/>
      <c r="K106" s="289"/>
      <c r="L106" s="289"/>
      <c r="M106" s="289"/>
      <c r="N106" s="289"/>
      <c r="O106" s="289"/>
      <c r="P106" s="99"/>
      <c r="Q106" s="289"/>
      <c r="R106" s="289"/>
      <c r="S106" s="289"/>
      <c r="T106" s="289"/>
      <c r="U106" s="289"/>
      <c r="V106" s="289"/>
      <c r="W106" s="289"/>
      <c r="X106" s="99"/>
      <c r="Y106" s="356"/>
      <c r="Z106" s="356"/>
      <c r="AA106" s="356"/>
      <c r="AB106" s="356"/>
      <c r="AC106" s="356"/>
    </row>
    <row r="107" spans="1:39" s="70" customFormat="1" ht="15" customHeight="1" x14ac:dyDescent="0.2"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310"/>
      <c r="Z107" s="311"/>
      <c r="AA107" s="311"/>
      <c r="AB107" s="311"/>
    </row>
    <row r="108" spans="1:39" s="177" customFormat="1" ht="21" customHeight="1" x14ac:dyDescent="0.2">
      <c r="A108" s="143" t="s">
        <v>173</v>
      </c>
      <c r="B108" s="239" t="s">
        <v>174</v>
      </c>
      <c r="C108" s="239"/>
      <c r="D108" s="239"/>
      <c r="E108" s="239"/>
      <c r="F108" s="176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M108" s="180"/>
    </row>
    <row r="109" spans="1:39" s="177" customFormat="1" ht="15" customHeight="1" x14ac:dyDescent="0.2">
      <c r="A109" s="143">
        <v>1</v>
      </c>
      <c r="B109" s="357" t="s">
        <v>857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M109" s="180"/>
    </row>
    <row r="110" spans="1:39" ht="2.4500000000000002" customHeight="1" x14ac:dyDescent="0.25">
      <c r="A110" s="262"/>
      <c r="B110" s="263"/>
      <c r="C110" s="237"/>
      <c r="D110" s="237"/>
      <c r="E110" s="237"/>
      <c r="F110" s="237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M110" s="144"/>
    </row>
    <row r="111" spans="1:39" ht="99" customHeight="1" x14ac:dyDescent="0.25">
      <c r="A111" s="262"/>
      <c r="B111" s="292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4"/>
      <c r="AM111" s="144"/>
    </row>
    <row r="112" spans="1:39" ht="106.15" customHeight="1" x14ac:dyDescent="0.25">
      <c r="A112" s="262"/>
      <c r="B112" s="295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7"/>
      <c r="AM112" s="144"/>
    </row>
    <row r="113" spans="1:39" ht="168.6" customHeight="1" x14ac:dyDescent="0.2">
      <c r="A113" s="70"/>
      <c r="B113" s="298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300"/>
      <c r="AM113" s="144"/>
    </row>
    <row r="114" spans="1:39" s="177" customFormat="1" ht="24.75" customHeight="1" x14ac:dyDescent="0.2">
      <c r="A114" s="143">
        <v>2</v>
      </c>
      <c r="B114" s="352" t="s">
        <v>858</v>
      </c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2"/>
      <c r="Y114" s="352"/>
      <c r="Z114" s="352"/>
      <c r="AA114" s="352"/>
    </row>
    <row r="115" spans="1:39" ht="12.75" customHeight="1" x14ac:dyDescent="0.25">
      <c r="A115" s="262"/>
      <c r="B115" s="292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2"/>
    </row>
    <row r="116" spans="1:39" ht="84.75" customHeight="1" x14ac:dyDescent="0.25">
      <c r="A116" s="262"/>
      <c r="B116" s="303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  <c r="AA116" s="304"/>
      <c r="AB116" s="305"/>
    </row>
    <row r="117" spans="1:39" ht="94.15" customHeight="1" x14ac:dyDescent="0.25">
      <c r="A117" s="262"/>
      <c r="B117" s="303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304"/>
      <c r="Z117" s="304"/>
      <c r="AA117" s="304"/>
      <c r="AB117" s="305"/>
    </row>
    <row r="118" spans="1:39" ht="142.5" customHeight="1" x14ac:dyDescent="0.25">
      <c r="A118" s="262"/>
      <c r="B118" s="303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4"/>
      <c r="Z118" s="304"/>
      <c r="AA118" s="304"/>
      <c r="AB118" s="305"/>
    </row>
    <row r="119" spans="1:39" ht="130.5" customHeight="1" x14ac:dyDescent="0.2">
      <c r="A119" s="264"/>
      <c r="B119" s="303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4"/>
      <c r="AB119" s="305"/>
      <c r="AM119" s="177"/>
    </row>
    <row r="120" spans="1:39" ht="111" customHeight="1" x14ac:dyDescent="0.2">
      <c r="A120" s="265"/>
      <c r="B120" s="306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8"/>
      <c r="AM120" s="259"/>
    </row>
    <row r="121" spans="1:39" s="177" customFormat="1" ht="30" customHeight="1" x14ac:dyDescent="0.2">
      <c r="A121" s="143">
        <v>3</v>
      </c>
      <c r="B121" s="352" t="s">
        <v>859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</row>
    <row r="122" spans="1:39" ht="85.5" customHeight="1" x14ac:dyDescent="0.25">
      <c r="A122" s="262"/>
      <c r="B122" s="292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4"/>
    </row>
    <row r="123" spans="1:39" ht="132" customHeight="1" x14ac:dyDescent="0.25">
      <c r="A123" s="262"/>
      <c r="B123" s="295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7"/>
    </row>
    <row r="124" spans="1:39" ht="128.44999999999999" customHeight="1" x14ac:dyDescent="0.25">
      <c r="A124" s="262"/>
      <c r="B124" s="295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7"/>
    </row>
    <row r="125" spans="1:39" ht="259.5" customHeight="1" x14ac:dyDescent="0.2">
      <c r="A125" s="264"/>
      <c r="B125" s="295"/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7"/>
    </row>
    <row r="126" spans="1:39" ht="141.6" customHeight="1" x14ac:dyDescent="0.2">
      <c r="A126" s="265"/>
      <c r="B126" s="298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300"/>
    </row>
    <row r="127" spans="1:39" s="177" customFormat="1" ht="28.5" customHeight="1" x14ac:dyDescent="0.2">
      <c r="A127" s="143">
        <v>4</v>
      </c>
      <c r="B127" s="352" t="s">
        <v>860</v>
      </c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</row>
    <row r="128" spans="1:39" ht="3.75" hidden="1" customHeight="1" x14ac:dyDescent="0.25">
      <c r="A128" s="262"/>
      <c r="B128" s="237"/>
      <c r="C128" s="263"/>
      <c r="D128" s="263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</row>
    <row r="129" spans="1:28" ht="87" customHeight="1" x14ac:dyDescent="0.25">
      <c r="A129" s="262"/>
      <c r="B129" s="292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2"/>
    </row>
    <row r="130" spans="1:28" ht="53.45" customHeight="1" x14ac:dyDescent="0.25">
      <c r="A130" s="262"/>
      <c r="B130" s="303"/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  <c r="AA130" s="304"/>
      <c r="AB130" s="305"/>
    </row>
    <row r="131" spans="1:28" ht="115.5" customHeight="1" x14ac:dyDescent="0.25">
      <c r="A131" s="262"/>
      <c r="B131" s="303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305"/>
    </row>
    <row r="132" spans="1:28" ht="167.45" customHeight="1" x14ac:dyDescent="0.2">
      <c r="A132" s="264"/>
      <c r="B132" s="303"/>
      <c r="C132" s="304"/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/>
      <c r="Z132" s="304"/>
      <c r="AA132" s="304"/>
      <c r="AB132" s="305"/>
    </row>
    <row r="133" spans="1:28" ht="83.45" customHeight="1" x14ac:dyDescent="0.2">
      <c r="A133" s="265"/>
      <c r="B133" s="306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8"/>
    </row>
    <row r="134" spans="1:28" s="177" customFormat="1" ht="21.75" customHeight="1" x14ac:dyDescent="0.2">
      <c r="A134" s="143">
        <v>5</v>
      </c>
      <c r="B134" s="239" t="s">
        <v>861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8" ht="93.75" customHeight="1" x14ac:dyDescent="0.25">
      <c r="A135" s="262"/>
      <c r="B135" s="292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2"/>
    </row>
    <row r="136" spans="1:28" ht="167.25" customHeight="1" x14ac:dyDescent="0.25">
      <c r="A136" s="262"/>
      <c r="B136" s="303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5"/>
    </row>
    <row r="137" spans="1:28" ht="105.6" customHeight="1" x14ac:dyDescent="0.2">
      <c r="A137" s="264"/>
      <c r="B137" s="306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8"/>
    </row>
    <row r="138" spans="1:28" ht="6" customHeight="1" x14ac:dyDescent="0.2">
      <c r="A138" s="264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</row>
    <row r="139" spans="1:28" ht="31.15" customHeight="1" x14ac:dyDescent="0.2">
      <c r="A139" s="143" t="s">
        <v>601</v>
      </c>
      <c r="B139" s="357" t="s">
        <v>798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</row>
    <row r="140" spans="1:28" ht="64.5" customHeight="1" x14ac:dyDescent="0.2">
      <c r="A140" s="264"/>
      <c r="B140" s="267"/>
      <c r="C140" s="267"/>
      <c r="D140" s="267"/>
      <c r="E140" s="267"/>
      <c r="F140" s="268"/>
      <c r="G140" s="290" t="s">
        <v>853</v>
      </c>
      <c r="H140" s="275"/>
      <c r="I140" s="275"/>
      <c r="J140" s="275"/>
      <c r="K140" s="275"/>
      <c r="L140" s="275"/>
      <c r="M140" s="275" t="s">
        <v>799</v>
      </c>
      <c r="N140" s="276"/>
      <c r="O140" s="276"/>
      <c r="P140" s="276"/>
      <c r="Q140" s="275" t="s">
        <v>800</v>
      </c>
      <c r="R140" s="276"/>
      <c r="S140" s="276"/>
      <c r="T140" s="276"/>
      <c r="U140" s="275" t="s">
        <v>801</v>
      </c>
      <c r="V140" s="276"/>
      <c r="W140" s="276"/>
      <c r="X140" s="276"/>
      <c r="Y140" s="277"/>
    </row>
    <row r="141" spans="1:28" ht="27.75" customHeight="1" x14ac:dyDescent="0.2">
      <c r="A141" s="138"/>
      <c r="B141" s="312" t="s">
        <v>175</v>
      </c>
      <c r="C141" s="313"/>
      <c r="D141" s="313"/>
      <c r="E141" s="313"/>
      <c r="F141" s="313"/>
      <c r="G141" s="291"/>
      <c r="H141" s="291"/>
      <c r="I141" s="291"/>
      <c r="J141" s="291"/>
      <c r="K141" s="291"/>
      <c r="L141" s="291"/>
      <c r="M141" s="355"/>
      <c r="N141" s="291"/>
      <c r="O141" s="291"/>
      <c r="P141" s="291"/>
      <c r="Q141" s="278"/>
      <c r="R141" s="278"/>
      <c r="S141" s="278"/>
      <c r="T141" s="278"/>
      <c r="U141" s="278"/>
      <c r="V141" s="278"/>
      <c r="W141" s="278"/>
      <c r="X141" s="278"/>
      <c r="Y141" s="279"/>
    </row>
    <row r="142" spans="1:28" ht="24" customHeight="1" x14ac:dyDescent="0.2">
      <c r="A142" s="138"/>
      <c r="B142" s="354" t="s">
        <v>176</v>
      </c>
      <c r="C142" s="309"/>
      <c r="D142" s="309"/>
      <c r="E142" s="309"/>
      <c r="F142" s="309"/>
      <c r="G142" s="291"/>
      <c r="H142" s="291"/>
      <c r="I142" s="291"/>
      <c r="J142" s="291"/>
      <c r="K142" s="291"/>
      <c r="L142" s="291"/>
      <c r="M142" s="309"/>
      <c r="N142" s="309"/>
      <c r="O142" s="309"/>
      <c r="P142" s="309"/>
      <c r="Q142" s="280"/>
      <c r="R142" s="280"/>
      <c r="S142" s="280"/>
      <c r="T142" s="280"/>
      <c r="U142" s="280"/>
      <c r="V142" s="280"/>
      <c r="W142" s="280"/>
      <c r="X142" s="280"/>
      <c r="Y142" s="281"/>
    </row>
    <row r="143" spans="1:28" ht="25.5" customHeight="1" x14ac:dyDescent="0.2">
      <c r="A143" s="138"/>
      <c r="B143" s="312" t="s">
        <v>236</v>
      </c>
      <c r="C143" s="313"/>
      <c r="D143" s="313"/>
      <c r="E143" s="313"/>
      <c r="F143" s="313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280"/>
      <c r="R143" s="280"/>
      <c r="S143" s="280"/>
      <c r="T143" s="280"/>
      <c r="U143" s="280"/>
      <c r="V143" s="280"/>
      <c r="W143" s="280"/>
      <c r="X143" s="280"/>
      <c r="Y143" s="281"/>
    </row>
    <row r="144" spans="1:28" ht="6.6" customHeight="1" x14ac:dyDescent="0.2">
      <c r="A144" s="138"/>
      <c r="B144" s="269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</row>
    <row r="145" spans="1:29" s="238" customFormat="1" ht="23.25" customHeight="1" x14ac:dyDescent="0.2">
      <c r="A145" s="239"/>
      <c r="B145" s="239" t="s">
        <v>862</v>
      </c>
      <c r="C145" s="239"/>
      <c r="D145" s="239"/>
      <c r="E145" s="239"/>
    </row>
    <row r="146" spans="1:29" ht="183" customHeight="1" x14ac:dyDescent="0.25">
      <c r="A146" s="263"/>
      <c r="B146" s="292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4"/>
    </row>
    <row r="147" spans="1:29" ht="159" customHeight="1" x14ac:dyDescent="0.2">
      <c r="A147" s="264"/>
      <c r="B147" s="298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300"/>
    </row>
    <row r="148" spans="1:29" ht="5.45" customHeight="1" x14ac:dyDescent="0.25">
      <c r="A148" s="270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</row>
    <row r="149" spans="1:29" s="215" customFormat="1" ht="12.75" customHeight="1" x14ac:dyDescent="0.25">
      <c r="A149" s="262" t="s">
        <v>602</v>
      </c>
      <c r="B149" s="237" t="s">
        <v>809</v>
      </c>
    </row>
    <row r="150" spans="1:29" ht="12" customHeight="1" x14ac:dyDescent="0.2">
      <c r="A150" s="265"/>
      <c r="B150" s="158"/>
      <c r="C150" s="271"/>
      <c r="D150" s="271"/>
      <c r="E150" s="271"/>
      <c r="F150" s="271"/>
      <c r="G150" s="271"/>
      <c r="H150" s="271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74"/>
      <c r="AC150" s="174"/>
    </row>
    <row r="151" spans="1:29" ht="12.75" customHeight="1" x14ac:dyDescent="0.2">
      <c r="A151" s="265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74"/>
      <c r="AC151" s="174"/>
    </row>
    <row r="152" spans="1:29" ht="7.5" customHeight="1" x14ac:dyDescent="0.2">
      <c r="A152" s="265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74"/>
      <c r="AC152" s="174"/>
    </row>
    <row r="153" spans="1:29" s="215" customFormat="1" ht="15.75" x14ac:dyDescent="0.25">
      <c r="A153" s="262" t="s">
        <v>603</v>
      </c>
      <c r="B153" s="237" t="s">
        <v>797</v>
      </c>
    </row>
    <row r="154" spans="1:29" ht="14.25" x14ac:dyDescent="0.2">
      <c r="A154" s="265"/>
      <c r="B154" s="158"/>
      <c r="C154" s="158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174"/>
      <c r="AC154" s="174"/>
    </row>
    <row r="155" spans="1:29" ht="10.5" customHeight="1" x14ac:dyDescent="0.2">
      <c r="A155" s="265"/>
      <c r="B155" s="158"/>
      <c r="C155" s="158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174"/>
      <c r="AC155" s="174"/>
    </row>
    <row r="156" spans="1:29" ht="19.5" customHeight="1" x14ac:dyDescent="0.2">
      <c r="A156" s="265"/>
      <c r="B156" s="192"/>
      <c r="C156" s="192"/>
      <c r="D156" s="192"/>
      <c r="E156" s="192"/>
      <c r="F156" s="192"/>
      <c r="G156" s="192"/>
      <c r="H156" s="192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282"/>
      <c r="AC156" s="282"/>
    </row>
    <row r="157" spans="1:29" ht="14.25" x14ac:dyDescent="0.2">
      <c r="A157" s="265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</row>
    <row r="158" spans="1:29" x14ac:dyDescent="0.2">
      <c r="A158" s="261"/>
    </row>
    <row r="159" spans="1:29" x14ac:dyDescent="0.2"/>
    <row r="160" spans="1:29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</sheetData>
  <sheetProtection algorithmName="SHA-512" hashValue="TNtkSeOKAzSDqFlKjyWEnXoaSG7mUh4VJnmFm+qUQUs0wK/ucaIGYycfGXgv74MFKKeuyHsc7aiLgnUCZRv8NQ==" saltValue="p705byHtvXchbcIFdhp+jg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80">
    <mergeCell ref="Y93:AC93"/>
    <mergeCell ref="Y94:AC94"/>
    <mergeCell ref="Y95:AC95"/>
    <mergeCell ref="Y96:AC96"/>
    <mergeCell ref="Y97:AC97"/>
    <mergeCell ref="Y98:AC98"/>
    <mergeCell ref="Y99:AC99"/>
    <mergeCell ref="Y100:AC100"/>
    <mergeCell ref="Y101:AC101"/>
    <mergeCell ref="B98:G98"/>
    <mergeCell ref="Q98:W98"/>
    <mergeCell ref="H103:O103"/>
    <mergeCell ref="Q103:W103"/>
    <mergeCell ref="H101:O101"/>
    <mergeCell ref="Q95:W95"/>
    <mergeCell ref="Q96:W96"/>
    <mergeCell ref="Q97:W97"/>
    <mergeCell ref="B95:G95"/>
    <mergeCell ref="Q102:W102"/>
    <mergeCell ref="H102:O102"/>
    <mergeCell ref="B96:G96"/>
    <mergeCell ref="Z90:AA91"/>
    <mergeCell ref="B88:J88"/>
    <mergeCell ref="H92:O92"/>
    <mergeCell ref="B87:AA87"/>
    <mergeCell ref="B83:K83"/>
    <mergeCell ref="B93:G93"/>
    <mergeCell ref="H100:O100"/>
    <mergeCell ref="Q100:W100"/>
    <mergeCell ref="Q99:W99"/>
    <mergeCell ref="B94:G94"/>
    <mergeCell ref="Y92:AA92"/>
    <mergeCell ref="B86:AA86"/>
    <mergeCell ref="H99:O99"/>
    <mergeCell ref="H95:O95"/>
    <mergeCell ref="B97:G97"/>
    <mergeCell ref="H96:O96"/>
    <mergeCell ref="H98:O98"/>
    <mergeCell ref="H94:O94"/>
    <mergeCell ref="Q94:W94"/>
    <mergeCell ref="H97:O97"/>
    <mergeCell ref="Q93:W93"/>
    <mergeCell ref="B100:G100"/>
    <mergeCell ref="B99:G99"/>
    <mergeCell ref="U83:V84"/>
    <mergeCell ref="P65:R65"/>
    <mergeCell ref="E77:L77"/>
    <mergeCell ref="B62:D73"/>
    <mergeCell ref="S68:U68"/>
    <mergeCell ref="S69:U69"/>
    <mergeCell ref="S75:U75"/>
    <mergeCell ref="M75:O75"/>
    <mergeCell ref="S76:U76"/>
    <mergeCell ref="E76:L76"/>
    <mergeCell ref="M66:O66"/>
    <mergeCell ref="P71:R71"/>
    <mergeCell ref="P77:R77"/>
    <mergeCell ref="M65:O65"/>
    <mergeCell ref="M62:O62"/>
    <mergeCell ref="S66:U66"/>
    <mergeCell ref="M69:O69"/>
    <mergeCell ref="E65:L65"/>
    <mergeCell ref="P63:R63"/>
    <mergeCell ref="P64:R64"/>
    <mergeCell ref="M70:O70"/>
    <mergeCell ref="E64:L64"/>
    <mergeCell ref="M64:O64"/>
    <mergeCell ref="E67:L67"/>
    <mergeCell ref="E70:L70"/>
    <mergeCell ref="L83:N83"/>
    <mergeCell ref="O83:Q83"/>
    <mergeCell ref="P80:R80"/>
    <mergeCell ref="M80:O80"/>
    <mergeCell ref="L82:N82"/>
    <mergeCell ref="E78:L78"/>
    <mergeCell ref="M77:O77"/>
    <mergeCell ref="B82:K82"/>
    <mergeCell ref="S73:U73"/>
    <mergeCell ref="S74:U74"/>
    <mergeCell ref="P74:R74"/>
    <mergeCell ref="B20:E20"/>
    <mergeCell ref="B15:F15"/>
    <mergeCell ref="B21:E21"/>
    <mergeCell ref="L23:X23"/>
    <mergeCell ref="L22:X22"/>
    <mergeCell ref="J51:AB56"/>
    <mergeCell ref="F50:H50"/>
    <mergeCell ref="F48:H48"/>
    <mergeCell ref="B33:I33"/>
    <mergeCell ref="B27:AB27"/>
    <mergeCell ref="B46:I46"/>
    <mergeCell ref="F34:I34"/>
    <mergeCell ref="B40:O40"/>
    <mergeCell ref="F52:H52"/>
    <mergeCell ref="Q20:X20"/>
    <mergeCell ref="AA20:AB20"/>
    <mergeCell ref="Q21:X21"/>
    <mergeCell ref="F56:H56"/>
    <mergeCell ref="B34:D34"/>
    <mergeCell ref="F54:H54"/>
    <mergeCell ref="B54:E54"/>
    <mergeCell ref="B41:AA41"/>
    <mergeCell ref="B44:N44"/>
    <mergeCell ref="B32:AB32"/>
    <mergeCell ref="B14:F14"/>
    <mergeCell ref="G14:K14"/>
    <mergeCell ref="H18:P18"/>
    <mergeCell ref="Q18:X18"/>
    <mergeCell ref="AA18:AB18"/>
    <mergeCell ref="J50:AB50"/>
    <mergeCell ref="F21:P21"/>
    <mergeCell ref="B22:F22"/>
    <mergeCell ref="B31:AB31"/>
    <mergeCell ref="AA21:AB21"/>
    <mergeCell ref="B47:E47"/>
    <mergeCell ref="W33:AB33"/>
    <mergeCell ref="J47:AB47"/>
    <mergeCell ref="B42:H42"/>
    <mergeCell ref="V38:AB38"/>
    <mergeCell ref="B43:AA43"/>
    <mergeCell ref="B45:M45"/>
    <mergeCell ref="B25:P26"/>
    <mergeCell ref="Q25:AB25"/>
    <mergeCell ref="Q26:AB26"/>
    <mergeCell ref="W35:AB35"/>
    <mergeCell ref="G15:K15"/>
    <mergeCell ref="B23:K23"/>
    <mergeCell ref="F35:I35"/>
    <mergeCell ref="P62:R62"/>
    <mergeCell ref="B52:E52"/>
    <mergeCell ref="F47:H47"/>
    <mergeCell ref="F51:H51"/>
    <mergeCell ref="B51:E51"/>
    <mergeCell ref="F49:H49"/>
    <mergeCell ref="P44:AA44"/>
    <mergeCell ref="B28:AB28"/>
    <mergeCell ref="B35:E35"/>
    <mergeCell ref="B53:E53"/>
    <mergeCell ref="V62:X62"/>
    <mergeCell ref="B29:AB29"/>
    <mergeCell ref="V69:X69"/>
    <mergeCell ref="B56:E56"/>
    <mergeCell ref="X66:AA66"/>
    <mergeCell ref="X67:AA67"/>
    <mergeCell ref="Y62:AA62"/>
    <mergeCell ref="P79:R79"/>
    <mergeCell ref="S71:U71"/>
    <mergeCell ref="V70:AA80"/>
    <mergeCell ref="P78:R78"/>
    <mergeCell ref="E74:L74"/>
    <mergeCell ref="S70:U70"/>
    <mergeCell ref="P75:R75"/>
    <mergeCell ref="P76:R76"/>
    <mergeCell ref="P70:R70"/>
    <mergeCell ref="E63:L63"/>
    <mergeCell ref="M63:O63"/>
    <mergeCell ref="V68:X68"/>
    <mergeCell ref="P68:R68"/>
    <mergeCell ref="E69:L69"/>
    <mergeCell ref="M68:O68"/>
    <mergeCell ref="M78:O78"/>
    <mergeCell ref="P72:R72"/>
    <mergeCell ref="P73:R73"/>
    <mergeCell ref="S72:U72"/>
    <mergeCell ref="X64:AA64"/>
    <mergeCell ref="Q105:W105"/>
    <mergeCell ref="F20:P20"/>
    <mergeCell ref="AA17:AB17"/>
    <mergeCell ref="L15:X15"/>
    <mergeCell ref="B18:C18"/>
    <mergeCell ref="B17:C17"/>
    <mergeCell ref="D18:G18"/>
    <mergeCell ref="M67:O67"/>
    <mergeCell ref="E68:L68"/>
    <mergeCell ref="S67:U67"/>
    <mergeCell ref="Y68:AA68"/>
    <mergeCell ref="X61:AA61"/>
    <mergeCell ref="X59:AA60"/>
    <mergeCell ref="M60:O60"/>
    <mergeCell ref="M61:O61"/>
    <mergeCell ref="E60:L61"/>
    <mergeCell ref="S61:U61"/>
    <mergeCell ref="F53:H53"/>
    <mergeCell ref="P61:R61"/>
    <mergeCell ref="S60:U60"/>
    <mergeCell ref="B55:I55"/>
    <mergeCell ref="P60:R60"/>
    <mergeCell ref="X58:AA58"/>
    <mergeCell ref="B109:AB109"/>
    <mergeCell ref="M140:P140"/>
    <mergeCell ref="Q140:T140"/>
    <mergeCell ref="B146:AB147"/>
    <mergeCell ref="H106:O106"/>
    <mergeCell ref="A1:AA1"/>
    <mergeCell ref="A2:AA2"/>
    <mergeCell ref="C4:Y4"/>
    <mergeCell ref="L13:O13"/>
    <mergeCell ref="B13:K13"/>
    <mergeCell ref="P13:X13"/>
    <mergeCell ref="B11:X11"/>
    <mergeCell ref="AA11:AB11"/>
    <mergeCell ref="B10:X10"/>
    <mergeCell ref="A7:AB7"/>
    <mergeCell ref="AA12:AB13"/>
    <mergeCell ref="B12:K12"/>
    <mergeCell ref="L14:X14"/>
    <mergeCell ref="S62:U62"/>
    <mergeCell ref="E62:L62"/>
    <mergeCell ref="P66:R66"/>
    <mergeCell ref="P69:R69"/>
    <mergeCell ref="P67:R67"/>
    <mergeCell ref="X63:AA63"/>
    <mergeCell ref="B127:AA127"/>
    <mergeCell ref="Q141:T141"/>
    <mergeCell ref="M143:P143"/>
    <mergeCell ref="B142:F142"/>
    <mergeCell ref="Q142:T142"/>
    <mergeCell ref="B101:G101"/>
    <mergeCell ref="B114:AA114"/>
    <mergeCell ref="B141:F141"/>
    <mergeCell ref="Q101:W101"/>
    <mergeCell ref="B105:G105"/>
    <mergeCell ref="M141:P141"/>
    <mergeCell ref="B102:G102"/>
    <mergeCell ref="B135:AB137"/>
    <mergeCell ref="G143:L143"/>
    <mergeCell ref="Q143:T143"/>
    <mergeCell ref="B121:AB121"/>
    <mergeCell ref="Q106:W106"/>
    <mergeCell ref="B103:G103"/>
    <mergeCell ref="Y102:AC102"/>
    <mergeCell ref="Y103:AC103"/>
    <mergeCell ref="Y104:AC104"/>
    <mergeCell ref="Y105:AC105"/>
    <mergeCell ref="Y106:AC106"/>
    <mergeCell ref="B139:AA139"/>
    <mergeCell ref="E71:L71"/>
    <mergeCell ref="M71:O71"/>
    <mergeCell ref="E75:L75"/>
    <mergeCell ref="E79:L79"/>
    <mergeCell ref="U82:X82"/>
    <mergeCell ref="M79:O79"/>
    <mergeCell ref="S79:U79"/>
    <mergeCell ref="M74:O74"/>
    <mergeCell ref="O82:Q82"/>
    <mergeCell ref="S77:U77"/>
    <mergeCell ref="B81:AA81"/>
    <mergeCell ref="B77:D79"/>
    <mergeCell ref="M72:O72"/>
    <mergeCell ref="B80:D80"/>
    <mergeCell ref="S80:U80"/>
    <mergeCell ref="B74:D76"/>
    <mergeCell ref="E72:L72"/>
    <mergeCell ref="E73:L73"/>
    <mergeCell ref="M73:O73"/>
    <mergeCell ref="M76:O76"/>
    <mergeCell ref="L12:O12"/>
    <mergeCell ref="U140:Y140"/>
    <mergeCell ref="U141:Y141"/>
    <mergeCell ref="U142:Y142"/>
    <mergeCell ref="U143:Y143"/>
    <mergeCell ref="AB156:AC156"/>
    <mergeCell ref="W83:X84"/>
    <mergeCell ref="B104:G104"/>
    <mergeCell ref="H104:O104"/>
    <mergeCell ref="Q104:W104"/>
    <mergeCell ref="H105:O105"/>
    <mergeCell ref="B106:G106"/>
    <mergeCell ref="G140:L140"/>
    <mergeCell ref="G142:L142"/>
    <mergeCell ref="B111:AB113"/>
    <mergeCell ref="B115:AB120"/>
    <mergeCell ref="B122:AB126"/>
    <mergeCell ref="B129:AB133"/>
    <mergeCell ref="M142:P142"/>
    <mergeCell ref="G141:L141"/>
    <mergeCell ref="Y107:AB107"/>
    <mergeCell ref="H93:O93"/>
    <mergeCell ref="B143:F143"/>
    <mergeCell ref="E80:L80"/>
  </mergeCells>
  <phoneticPr fontId="0" type="noConversion"/>
  <conditionalFormatting sqref="A26:A28 P40:AA40 B41 B43:B44 O44 B47 I47 F47:F54 E48:E50 B49:D50 B51:B54 I51:I54 Z57:AA57 B57:H58 J57:S58 I91 A108:AA108 A109:B109 A110:AA110 A111:B111 A112 B114:B115 AN114:AN124 A114:A140 B121:B122 AN126:AN133 B127 AM127:AM131 B128:AA128 B129 B134:AA134 B135 B139 F140 Q141:X143 Z141:AA143 B141:B146 Q144:AA145 F145:P145 A145:A157 B148:AA148 AM148:AN149 C149:AA152 D153:AA153 C154:C155">
    <cfRule type="cellIs" dxfId="30" priority="184" stopIfTrue="1" operator="equal">
      <formula>"F"</formula>
    </cfRule>
  </conditionalFormatting>
  <conditionalFormatting sqref="B56 F56">
    <cfRule type="cellIs" dxfId="29" priority="174" stopIfTrue="1" operator="equal">
      <formula>"F"</formula>
    </cfRule>
  </conditionalFormatting>
  <conditionalFormatting sqref="B149:B155">
    <cfRule type="cellIs" dxfId="28" priority="4" stopIfTrue="1" operator="equal">
      <formula>"F"</formula>
    </cfRule>
  </conditionalFormatting>
  <conditionalFormatting sqref="H93:AC93">
    <cfRule type="expression" dxfId="27" priority="30" stopIfTrue="1">
      <formula>$B$93&lt;&gt;" "</formula>
    </cfRule>
  </conditionalFormatting>
  <conditionalFormatting sqref="H94:AC94">
    <cfRule type="expression" dxfId="26" priority="10" stopIfTrue="1">
      <formula>$B$94&lt;&gt;" "</formula>
    </cfRule>
  </conditionalFormatting>
  <conditionalFormatting sqref="H95:AC95">
    <cfRule type="expression" dxfId="25" priority="19" stopIfTrue="1">
      <formula>$B$95&lt;&gt;" "</formula>
    </cfRule>
  </conditionalFormatting>
  <conditionalFormatting sqref="H96:AC96">
    <cfRule type="expression" dxfId="24" priority="21" stopIfTrue="1">
      <formula>$B$96&lt;&gt;" "</formula>
    </cfRule>
  </conditionalFormatting>
  <conditionalFormatting sqref="H97:AC97">
    <cfRule type="expression" dxfId="23" priority="22" stopIfTrue="1">
      <formula>$B$97&lt;&gt;" "</formula>
    </cfRule>
  </conditionalFormatting>
  <conditionalFormatting sqref="H98:AC98">
    <cfRule type="expression" dxfId="22" priority="23" stopIfTrue="1">
      <formula>$B$98&lt;&gt;" "</formula>
    </cfRule>
  </conditionalFormatting>
  <conditionalFormatting sqref="H99:AC99">
    <cfRule type="expression" dxfId="21" priority="24" stopIfTrue="1">
      <formula>$B$99&lt;&gt;" "</formula>
    </cfRule>
  </conditionalFormatting>
  <conditionalFormatting sqref="H100:AC100">
    <cfRule type="expression" dxfId="20" priority="25" stopIfTrue="1">
      <formula>$B$100&lt;&gt;" "</formula>
    </cfRule>
  </conditionalFormatting>
  <conditionalFormatting sqref="H101:AC101">
    <cfRule type="expression" dxfId="19" priority="26" stopIfTrue="1">
      <formula>$B$101&lt;&gt;" "</formula>
    </cfRule>
  </conditionalFormatting>
  <conditionalFormatting sqref="H102:AC102">
    <cfRule type="expression" dxfId="18" priority="27" stopIfTrue="1">
      <formula>$B$102&lt;&gt;" "</formula>
    </cfRule>
  </conditionalFormatting>
  <conditionalFormatting sqref="H103:AC103">
    <cfRule type="expression" dxfId="17" priority="28" stopIfTrue="1">
      <formula>$B$103&lt;&gt;" "</formula>
    </cfRule>
  </conditionalFormatting>
  <conditionalFormatting sqref="H104:AC104">
    <cfRule type="expression" dxfId="16" priority="29" stopIfTrue="1">
      <formula>$B$104&lt;&gt;" "</formula>
    </cfRule>
  </conditionalFormatting>
  <conditionalFormatting sqref="H105:AC105">
    <cfRule type="expression" dxfId="15" priority="8" stopIfTrue="1">
      <formula>$B$105&lt;&gt;" "</formula>
    </cfRule>
  </conditionalFormatting>
  <conditionalFormatting sqref="H106:AC106">
    <cfRule type="expression" dxfId="14" priority="17" stopIfTrue="1">
      <formula>$B$106&lt;&gt;" "</formula>
    </cfRule>
  </conditionalFormatting>
  <conditionalFormatting sqref="P100 X100">
    <cfRule type="expression" dxfId="13" priority="123" stopIfTrue="1">
      <formula>$B$100&lt;&gt;" "</formula>
    </cfRule>
  </conditionalFormatting>
  <conditionalFormatting sqref="Q25:AB25">
    <cfRule type="containsText" dxfId="12" priority="1" operator="containsText" text="Eureka">
      <formula>NOT(ISERROR(SEARCH("Eureka",Q25)))</formula>
    </cfRule>
  </conditionalFormatting>
  <conditionalFormatting sqref="U37:U38">
    <cfRule type="cellIs" dxfId="11" priority="13" operator="equal">
      <formula>"Übergangsregion!"</formula>
    </cfRule>
  </conditionalFormatting>
  <conditionalFormatting sqref="W83:X85">
    <cfRule type="cellIs" dxfId="10" priority="103" stopIfTrue="1" operator="between">
      <formula>50.01</formula>
      <formula>100</formula>
    </cfRule>
  </conditionalFormatting>
  <conditionalFormatting sqref="Y94:Y106">
    <cfRule type="expression" dxfId="9" priority="2" stopIfTrue="1">
      <formula>$B$93&lt;&gt;" "</formula>
    </cfRule>
  </conditionalFormatting>
  <conditionalFormatting sqref="AA12:AB13">
    <cfRule type="cellIs" dxfId="8" priority="106" stopIfTrue="1" operator="between">
      <formula>1</formula>
      <formula>500</formula>
    </cfRule>
  </conditionalFormatting>
  <conditionalFormatting sqref="AA20:AB21">
    <cfRule type="cellIs" dxfId="7" priority="59" stopIfTrue="1" operator="lessThanOrEqual">
      <formula>40784</formula>
    </cfRule>
  </conditionalFormatting>
  <dataValidations xWindow="1014" yWindow="495" count="10"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1" xr:uid="{00000000-0002-0000-0000-000000000000}">
      <formula1>12</formula1>
    </dataValidation>
    <dataValidation allowBlank="1" showErrorMessage="1" prompt="_x000a_" sqref="F56:H56" xr:uid="{00000000-0002-0000-0000-000001000000}"/>
    <dataValidation allowBlank="1" showInputMessage="1" showErrorMessage="1" prompt="Bitte kreuzen Sie an: _x000a_wd für wiederholte Durchführung_x000a_ed für erstmalige Durchführung" sqref="J34" xr:uid="{E4DF3489-28B2-4FF9-8B4F-55347F869CB1}"/>
    <dataValidation type="whole" operator="greaterThanOrEqual" allowBlank="1" showInputMessage="1" showErrorMessage="1" sqref="F47:H54 P62:R80" xr:uid="{00000000-0002-0000-0000-000004000000}">
      <formula1>0</formula1>
    </dataValidation>
    <dataValidation type="date" allowBlank="1" showInputMessage="1" showErrorMessage="1" error="Der eingegebene Beginn liegt außerhalb des im aktuellen Aufruf möglichen Zeitraums." promptTitle="Projektbeginn" prompt="ab 01.01.2026  bis zum 30.06.2026" sqref="B35:E35" xr:uid="{00000000-0002-0000-0000-000005000000}">
      <formula1>46023</formula1>
      <formula2>46203</formula2>
    </dataValidation>
    <dataValidation type="textLength" operator="lessThanOrEqual" allowBlank="1" showInputMessage="1" showErrorMessage="1" error="Maximale Zeichenbegrenzung überschritten!" promptTitle="Zeichenbegrenzung" prompt="Maximal 2.400 Zeichen." sqref="B111:AB113" xr:uid="{00000000-0002-0000-0000-000006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3.000 Zeichen." sqref="B115:AB120 B122:AB126" xr:uid="{00000000-0002-0000-0000-000007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2.400 Zeichen." sqref="B129:AB133" xr:uid="{00000000-0002-0000-0000-000009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38:AB138" xr:uid="{00000000-0002-0000-0000-00000A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 1.800 Zeichen." sqref="B135:AB137 B146:AB147" xr:uid="{CB25A2F3-F04E-4EE4-8149-8BB74537A427}">
      <formula1>1900</formula1>
    </dataValidation>
  </dataValidations>
  <printOptions horizontalCentered="1" verticalCentered="1"/>
  <pageMargins left="0.51181102362204722" right="0.19685039370078741" top="0.19685039370078741" bottom="0.19685039370078741" header="0.31496062992125984" footer="0.19685039370078741"/>
  <pageSetup paperSize="9" scale="81" fitToHeight="999" orientation="portrait" r:id="rId3"/>
  <headerFooter alignWithMargins="0">
    <oddFooter>&amp;L&amp;F&amp;R&amp;P</oddFooter>
  </headerFooter>
  <rowBreaks count="4" manualBreakCount="4">
    <brk id="57" max="16383" man="1"/>
    <brk id="107" max="16383" man="1"/>
    <brk id="126" max="16383" man="1"/>
    <brk id="137" max="16383" man="1"/>
  </rowBreaks>
  <ignoredErrors>
    <ignoredError sqref="B93:G93 B94:B96 B101:B106 B97:B100" unlockedFormula="1"/>
    <ignoredError sqref="A139 A149 A153 P60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19</xdr:col>
                    <xdr:colOff>19050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7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19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8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46</xdr:row>
                    <xdr:rowOff>9525</xdr:rowOff>
                  </from>
                  <to>
                    <xdr:col>24</xdr:col>
                    <xdr:colOff>180975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9" name="Option Button 367">
              <controlPr defaultSize="0" autoFill="0" autoLine="0" autoPict="0">
                <anchor moveWithCells="1">
                  <from>
                    <xdr:col>10</xdr:col>
                    <xdr:colOff>171450</xdr:colOff>
                    <xdr:row>47</xdr:row>
                    <xdr:rowOff>38100</xdr:rowOff>
                  </from>
                  <to>
                    <xdr:col>12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0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38100</xdr:rowOff>
                  </from>
                  <to>
                    <xdr:col>15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1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140</xdr:row>
                    <xdr:rowOff>0</xdr:rowOff>
                  </from>
                  <to>
                    <xdr:col>12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2" name="Option Button 370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140</xdr:row>
                    <xdr:rowOff>95250</xdr:rowOff>
                  </from>
                  <to>
                    <xdr:col>9</xdr:col>
                    <xdr:colOff>76200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" name="Option Button 371">
              <controlPr defaultSize="0" autoFill="0" autoLine="0" autoPict="0">
                <anchor moveWithCells="1">
                  <from>
                    <xdr:col>8</xdr:col>
                    <xdr:colOff>19050</xdr:colOff>
                    <xdr:row>141</xdr:row>
                    <xdr:rowOff>47625</xdr:rowOff>
                  </from>
                  <to>
                    <xdr:col>9</xdr:col>
                    <xdr:colOff>76200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4" name="Option Button 372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76200</xdr:rowOff>
                  </from>
                  <to>
                    <xdr:col>9</xdr:col>
                    <xdr:colOff>85725</xdr:colOff>
                    <xdr:row>142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5" name="nachhaltigoekoauswahl">
              <controlPr locked="0" defaultSize="0" print="0" autoFill="0" autoPict="0">
                <anchor moveWithCells="1">
                  <from>
                    <xdr:col>12</xdr:col>
                    <xdr:colOff>9525</xdr:colOff>
                    <xdr:row>140</xdr:row>
                    <xdr:rowOff>9525</xdr:rowOff>
                  </from>
                  <to>
                    <xdr:col>16</xdr:col>
                    <xdr:colOff>9525</xdr:colOff>
                    <xdr:row>142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6" name="Option Button 374">
              <controlPr defaultSize="0" autoFill="0" autoLine="0" autoPict="0">
                <anchor moveWithCells="1">
                  <from>
                    <xdr:col>14</xdr:col>
                    <xdr:colOff>95250</xdr:colOff>
                    <xdr:row>140</xdr:row>
                    <xdr:rowOff>104775</xdr:rowOff>
                  </from>
                  <to>
                    <xdr:col>15</xdr:col>
                    <xdr:colOff>152400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7" name="Option Button 375">
              <controlPr defaultSize="0" autoFill="0" autoLine="0" autoPict="0">
                <anchor moveWithCells="1">
                  <from>
                    <xdr:col>14</xdr:col>
                    <xdr:colOff>95250</xdr:colOff>
                    <xdr:row>141</xdr:row>
                    <xdr:rowOff>47625</xdr:rowOff>
                  </from>
                  <to>
                    <xdr:col>15</xdr:col>
                    <xdr:colOff>161925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8" name="Option Button 376">
              <controlPr defaultSize="0" autoFill="0" autoLine="0" autoPict="0">
                <anchor moveWithCells="1">
                  <from>
                    <xdr:col>14</xdr:col>
                    <xdr:colOff>85725</xdr:colOff>
                    <xdr:row>142</xdr:row>
                    <xdr:rowOff>47625</xdr:rowOff>
                  </from>
                  <to>
                    <xdr:col>15</xdr:col>
                    <xdr:colOff>133350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9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139</xdr:row>
                    <xdr:rowOff>809625</xdr:rowOff>
                  </from>
                  <to>
                    <xdr:col>20</xdr:col>
                    <xdr:colOff>9525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0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139</xdr:row>
                    <xdr:rowOff>809625</xdr:rowOff>
                  </from>
                  <to>
                    <xdr:col>25</xdr:col>
                    <xdr:colOff>9525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1" name="Option Button 384">
              <controlPr defaultSize="0" autoFill="0" autoLine="0" autoPict="0">
                <anchor moveWithCells="1">
                  <from>
                    <xdr:col>22</xdr:col>
                    <xdr:colOff>133350</xdr:colOff>
                    <xdr:row>140</xdr:row>
                    <xdr:rowOff>95250</xdr:rowOff>
                  </from>
                  <to>
                    <xdr:col>23</xdr:col>
                    <xdr:colOff>209550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2" name="Option Button 385">
              <controlPr defaultSize="0" autoFill="0" autoLine="0" autoPict="0">
                <anchor moveWithCells="1">
                  <from>
                    <xdr:col>22</xdr:col>
                    <xdr:colOff>142875</xdr:colOff>
                    <xdr:row>141</xdr:row>
                    <xdr:rowOff>38100</xdr:rowOff>
                  </from>
                  <to>
                    <xdr:col>23</xdr:col>
                    <xdr:colOff>200025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3" name="Option Button 386">
              <controlPr defaultSize="0" autoFill="0" autoLine="0" autoPict="0">
                <anchor moveWithCells="1">
                  <from>
                    <xdr:col>22</xdr:col>
                    <xdr:colOff>152400</xdr:colOff>
                    <xdr:row>142</xdr:row>
                    <xdr:rowOff>66675</xdr:rowOff>
                  </from>
                  <to>
                    <xdr:col>23</xdr:col>
                    <xdr:colOff>219075</xdr:colOff>
                    <xdr:row>142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4" name="Option Button 387">
              <controlPr defaultSize="0" autoFill="0" autoLine="0" autoPict="0">
                <anchor moveWithCells="1">
                  <from>
                    <xdr:col>18</xdr:col>
                    <xdr:colOff>123825</xdr:colOff>
                    <xdr:row>140</xdr:row>
                    <xdr:rowOff>76200</xdr:rowOff>
                  </from>
                  <to>
                    <xdr:col>19</xdr:col>
                    <xdr:colOff>180975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5" name="Option Button 388">
              <controlPr defaultSize="0" autoFill="0" autoLine="0" autoPict="0">
                <anchor moveWithCells="1">
                  <from>
                    <xdr:col>18</xdr:col>
                    <xdr:colOff>114300</xdr:colOff>
                    <xdr:row>141</xdr:row>
                    <xdr:rowOff>38100</xdr:rowOff>
                  </from>
                  <to>
                    <xdr:col>19</xdr:col>
                    <xdr:colOff>171450</xdr:colOff>
                    <xdr:row>141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6" name="Option Button 389">
              <controlPr defaultSize="0" autoFill="0" autoLine="0" autoPict="0">
                <anchor moveWithCells="1">
                  <from>
                    <xdr:col>18</xdr:col>
                    <xdr:colOff>123825</xdr:colOff>
                    <xdr:row>142</xdr:row>
                    <xdr:rowOff>66675</xdr:rowOff>
                  </from>
                  <to>
                    <xdr:col>19</xdr:col>
                    <xdr:colOff>171450</xdr:colOff>
                    <xdr:row>142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27" name="Option Button 1278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25</xdr:row>
                    <xdr:rowOff>0</xdr:rowOff>
                  </from>
                  <to>
                    <xdr:col>6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28" name="Option Button 1279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19050</xdr:rowOff>
                  </from>
                  <to>
                    <xdr:col>9</xdr:col>
                    <xdr:colOff>133350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29" name="Check Box 1288">
              <controlPr defaultSize="0" autoFill="0" autoLine="0" autoPict="0">
                <anchor moveWithCells="1">
                  <from>
                    <xdr:col>19</xdr:col>
                    <xdr:colOff>28575</xdr:colOff>
                    <xdr:row>27</xdr:row>
                    <xdr:rowOff>295275</xdr:rowOff>
                  </from>
                  <to>
                    <xdr:col>19</xdr:col>
                    <xdr:colOff>390525</xdr:colOff>
                    <xdr:row>27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30" name="Group Box 1297">
              <controlPr locked="0" defaultSize="0" autoFill="0" autoPict="0">
                <anchor moveWithCells="1">
                  <from>
                    <xdr:col>1</xdr:col>
                    <xdr:colOff>9525</xdr:colOff>
                    <xdr:row>148</xdr:row>
                    <xdr:rowOff>161925</xdr:rowOff>
                  </from>
                  <to>
                    <xdr:col>8</xdr:col>
                    <xdr:colOff>9525</xdr:colOff>
                    <xdr:row>151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31" name="Option Button 1298">
              <controlPr defaultSize="0" autoFill="0" autoLine="0" autoPict="0">
                <anchor moveWithCells="1">
                  <from>
                    <xdr:col>2</xdr:col>
                    <xdr:colOff>0</xdr:colOff>
                    <xdr:row>149</xdr:row>
                    <xdr:rowOff>95250</xdr:rowOff>
                  </from>
                  <to>
                    <xdr:col>3</xdr:col>
                    <xdr:colOff>171450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32" name="Option Button 1299">
              <controlPr defaultSize="0" autoFill="0" autoLine="0" autoPict="0">
                <anchor moveWithCells="1">
                  <from>
                    <xdr:col>3</xdr:col>
                    <xdr:colOff>171450</xdr:colOff>
                    <xdr:row>149</xdr:row>
                    <xdr:rowOff>76200</xdr:rowOff>
                  </from>
                  <to>
                    <xdr:col>7</xdr:col>
                    <xdr:colOff>57150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33" name="Group Box 1300">
              <controlPr locked="0" defaultSize="0" autoFill="0" autoPict="0">
                <anchor moveWithCells="1">
                  <from>
                    <xdr:col>1</xdr:col>
                    <xdr:colOff>9525</xdr:colOff>
                    <xdr:row>152</xdr:row>
                    <xdr:rowOff>190500</xdr:rowOff>
                  </from>
                  <to>
                    <xdr:col>8</xdr:col>
                    <xdr:colOff>19050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34" name="Option Button 1301">
              <controlPr defaultSize="0" autoFill="0" autoLine="0" autoPict="0">
                <anchor moveWithCells="1">
                  <from>
                    <xdr:col>1</xdr:col>
                    <xdr:colOff>247650</xdr:colOff>
                    <xdr:row>153</xdr:row>
                    <xdr:rowOff>47625</xdr:rowOff>
                  </from>
                  <to>
                    <xdr:col>3</xdr:col>
                    <xdr:colOff>95250</xdr:colOff>
                    <xdr:row>154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35" name="Option Button 1302">
              <controlPr defaultSize="0" autoFill="0" autoLine="0" autoPict="0">
                <anchor moveWithCells="1">
                  <from>
                    <xdr:col>3</xdr:col>
                    <xdr:colOff>180975</xdr:colOff>
                    <xdr:row>153</xdr:row>
                    <xdr:rowOff>57150</xdr:rowOff>
                  </from>
                  <to>
                    <xdr:col>5</xdr:col>
                    <xdr:colOff>47625</xdr:colOff>
                    <xdr:row>154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36" name="Option Button 1307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76200</xdr:rowOff>
                  </from>
                  <to>
                    <xdr:col>15</xdr:col>
                    <xdr:colOff>133350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37" name="Option Button 1308">
              <controlPr defaultSize="0" autoFill="0" autoLine="0" autoPict="0" altText="ed:erstmalige Durchführung">
                <anchor moveWithCells="1">
                  <from>
                    <xdr:col>15</xdr:col>
                    <xdr:colOff>171450</xdr:colOff>
                    <xdr:row>33</xdr:row>
                    <xdr:rowOff>57150</xdr:rowOff>
                  </from>
                  <to>
                    <xdr:col>19</xdr:col>
                    <xdr:colOff>314325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38" name="Check Box 1310">
              <controlPr defaultSize="0" autoFill="0" autoLine="0" autoPict="0">
                <anchor moveWithCells="1">
                  <from>
                    <xdr:col>25</xdr:col>
                    <xdr:colOff>57150</xdr:colOff>
                    <xdr:row>28</xdr:row>
                    <xdr:rowOff>704850</xdr:rowOff>
                  </from>
                  <to>
                    <xdr:col>27</xdr:col>
                    <xdr:colOff>171450</xdr:colOff>
                    <xdr:row>28</xdr:row>
                    <xdr:rowOff>923925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14" yWindow="495" count="1">
        <x14:dataValidation type="list" allowBlank="1" showInputMessage="1" showErrorMessage="1" xr:uid="{96D40D84-838D-46BA-9115-C959BC87864E}">
          <x14:formula1>
            <xm:f>JC!$A$2:$A$36</xm:f>
          </x14:formula1>
          <xm:sqref>H103:O103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1"/>
  <sheetViews>
    <sheetView workbookViewId="0">
      <selection activeCell="A24" sqref="A24"/>
    </sheetView>
  </sheetViews>
  <sheetFormatPr baseColWidth="10" defaultRowHeight="12.75" x14ac:dyDescent="0.2"/>
  <cols>
    <col min="1" max="1" width="44.42578125" style="2" customWidth="1"/>
    <col min="2" max="2" width="15.5703125" style="17" customWidth="1"/>
    <col min="3" max="3" width="36.140625" style="2" customWidth="1"/>
    <col min="4" max="4" width="7.5703125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ht="28.5" thickBot="1" x14ac:dyDescent="0.45">
      <c r="A1" s="571" t="s">
        <v>536</v>
      </c>
      <c r="B1" s="571"/>
      <c r="C1" s="571"/>
      <c r="D1" s="571"/>
      <c r="E1" s="52"/>
      <c r="F1" s="52"/>
      <c r="G1" s="52"/>
      <c r="H1" s="52"/>
    </row>
    <row r="2" spans="1:8" s="4" customFormat="1" ht="20.25" x14ac:dyDescent="0.3">
      <c r="A2" s="53" t="s">
        <v>169</v>
      </c>
      <c r="B2" s="54"/>
      <c r="C2" s="53" t="s">
        <v>171</v>
      </c>
      <c r="D2" s="51"/>
    </row>
    <row r="3" spans="1:8" x14ac:dyDescent="0.2">
      <c r="A3" s="46" t="s">
        <v>770</v>
      </c>
      <c r="B3" s="47"/>
      <c r="C3" s="46" t="s">
        <v>170</v>
      </c>
      <c r="D3" s="49"/>
    </row>
    <row r="4" spans="1:8" x14ac:dyDescent="0.2">
      <c r="A4" s="73" t="s">
        <v>760</v>
      </c>
      <c r="B4" s="58" t="str">
        <f>IF(LEN(Tname)&gt;0,"ok","fehlt")</f>
        <v>fehlt</v>
      </c>
      <c r="C4" s="48" t="s">
        <v>132</v>
      </c>
      <c r="D4" s="58" t="str">
        <f>IF(LEN(Ptitel)&gt;0,"ok","fehlt")</f>
        <v>fehlt</v>
      </c>
    </row>
    <row r="5" spans="1:8" x14ac:dyDescent="0.2">
      <c r="A5" s="48" t="s">
        <v>88</v>
      </c>
      <c r="B5" s="58" t="str">
        <f>IF(LEN(Tstraße)&gt;0,"ok","fehlt")</f>
        <v>fehlt</v>
      </c>
      <c r="C5" s="48" t="s">
        <v>50</v>
      </c>
      <c r="D5" s="58" t="str">
        <f>IF(Beginn&gt;1,"ok","fehlt")</f>
        <v>fehlt</v>
      </c>
    </row>
    <row r="6" spans="1:8" x14ac:dyDescent="0.2">
      <c r="A6" s="48" t="s">
        <v>36</v>
      </c>
      <c r="B6" s="58" t="str">
        <f>IF(LEN(Tplz)&gt;0,"ok","fehlt")</f>
        <v>fehlt</v>
      </c>
      <c r="C6" s="48" t="s">
        <v>51</v>
      </c>
      <c r="D6" s="58" t="str">
        <f>IF(Ende&gt;1,"ok","fehlt")</f>
        <v>fehlt</v>
      </c>
    </row>
    <row r="7" spans="1:8" x14ac:dyDescent="0.2">
      <c r="A7" s="48" t="s">
        <v>37</v>
      </c>
      <c r="B7" s="58" t="str">
        <f>IF(LEN(Tort)&gt;0,"ok","fehlt")</f>
        <v>fehlt</v>
      </c>
      <c r="C7" s="46"/>
      <c r="D7" s="58"/>
    </row>
    <row r="8" spans="1:8" x14ac:dyDescent="0.2">
      <c r="A8" s="73" t="s">
        <v>38</v>
      </c>
      <c r="B8" s="58" t="str">
        <f>IF(LEN(Ttel)&gt;0,"ok","fehlt")</f>
        <v>fehlt</v>
      </c>
      <c r="C8" s="48"/>
      <c r="D8" s="58"/>
    </row>
    <row r="9" spans="1:8" ht="17.25" customHeight="1" x14ac:dyDescent="0.2">
      <c r="A9" s="48" t="s">
        <v>48</v>
      </c>
      <c r="B9" s="58" t="str">
        <f>IF(LEN(Temail)&gt;0,"ok","fehlt")</f>
        <v>fehlt</v>
      </c>
      <c r="C9" s="46" t="s">
        <v>105</v>
      </c>
      <c r="D9" s="58"/>
    </row>
    <row r="10" spans="1:8" x14ac:dyDescent="0.2">
      <c r="C10" s="48" t="s">
        <v>230</v>
      </c>
      <c r="D10" s="58" t="str">
        <f>IF(GKAuswahl&gt;1,"ok","fehlt")</f>
        <v>fehlt</v>
      </c>
    </row>
    <row r="11" spans="1:8" ht="25.5" x14ac:dyDescent="0.2">
      <c r="A11" s="46" t="s">
        <v>165</v>
      </c>
      <c r="B11" s="58"/>
      <c r="C11" s="46" t="s">
        <v>761</v>
      </c>
      <c r="D11" s="58"/>
    </row>
    <row r="12" spans="1:8" x14ac:dyDescent="0.2">
      <c r="A12" s="48" t="s">
        <v>46</v>
      </c>
      <c r="B12" s="58" t="str">
        <f>IF(LEN(ltganrede)&gt;0,"ok","fehlt")</f>
        <v>fehlt</v>
      </c>
      <c r="C12" s="48"/>
      <c r="D12" s="58"/>
    </row>
    <row r="13" spans="1:8" x14ac:dyDescent="0.2">
      <c r="A13" s="48" t="s">
        <v>44</v>
      </c>
      <c r="B13" s="58" t="str">
        <f>IF(LEN(ltgname)&gt;0,"ok","fehlt")</f>
        <v>fehlt</v>
      </c>
      <c r="C13" s="73" t="s">
        <v>762</v>
      </c>
      <c r="D13" s="98" t="s">
        <v>771</v>
      </c>
    </row>
    <row r="14" spans="1:8" x14ac:dyDescent="0.2">
      <c r="A14" s="48" t="s">
        <v>93</v>
      </c>
      <c r="B14" s="58" t="str">
        <f>IF(LEN(ltgvorname)&gt;0,"ok","fehlt")</f>
        <v>fehlt</v>
      </c>
      <c r="C14" s="73" t="s">
        <v>623</v>
      </c>
      <c r="D14" s="58" t="str">
        <f ca="1">IF(LEFT(Fansatz,5)="Bitte","fehlt","ok")</f>
        <v>ok</v>
      </c>
    </row>
    <row r="15" spans="1:8" x14ac:dyDescent="0.2">
      <c r="A15" s="46" t="s">
        <v>304</v>
      </c>
      <c r="B15" s="58"/>
      <c r="C15" s="48"/>
      <c r="D15" s="58"/>
    </row>
    <row r="16" spans="1:8" x14ac:dyDescent="0.2">
      <c r="A16" s="50" t="s">
        <v>46</v>
      </c>
      <c r="B16" s="58" t="str">
        <f>IF(LEN(Anspranrede)&gt;0,"ok","fehlt")</f>
        <v>fehlt</v>
      </c>
      <c r="C16" s="48" t="s">
        <v>45</v>
      </c>
      <c r="D16" s="58" t="str">
        <f>IF(ZGauswahl&gt;1,"ok","fehlt")</f>
        <v>ok</v>
      </c>
    </row>
    <row r="17" spans="1:4" x14ac:dyDescent="0.2">
      <c r="A17" s="50" t="s">
        <v>44</v>
      </c>
      <c r="B17" s="58" t="str">
        <f>IF(LEN(Ansprname)&gt;0,"ok","fehlt")</f>
        <v>fehlt</v>
      </c>
      <c r="C17" s="46" t="s">
        <v>112</v>
      </c>
      <c r="D17" s="58"/>
    </row>
    <row r="18" spans="1:4" x14ac:dyDescent="0.2">
      <c r="A18" s="50" t="s">
        <v>93</v>
      </c>
      <c r="B18" s="58" t="str">
        <f>IF(LEN(ansprvorname)&gt;0,"ok","fehlt")</f>
        <v>fehlt</v>
      </c>
      <c r="C18" s="48" t="s">
        <v>306</v>
      </c>
      <c r="D18" s="58" t="str">
        <f>IF(LEN(TNpl)&gt;0,"ok","fehlt")</f>
        <v>fehlt</v>
      </c>
    </row>
    <row r="19" spans="1:4" x14ac:dyDescent="0.2">
      <c r="A19" s="73" t="s">
        <v>38</v>
      </c>
      <c r="B19" s="58" t="str">
        <f>IF(LEN(ansprtel)&gt;0,"ok","fehlt")</f>
        <v>fehlt</v>
      </c>
      <c r="C19" s="48" t="s">
        <v>305</v>
      </c>
      <c r="D19" s="58" t="str">
        <f>IF(LEN(TNanz)&gt;0,"ok","fehlt")</f>
        <v>fehlt</v>
      </c>
    </row>
    <row r="20" spans="1:4" x14ac:dyDescent="0.2">
      <c r="A20" s="50" t="s">
        <v>48</v>
      </c>
      <c r="B20" s="58" t="str">
        <f>IF(LEN(ansprmail)&gt;0,"ok","fehlt")</f>
        <v>fehlt</v>
      </c>
      <c r="C20" s="48" t="s">
        <v>43</v>
      </c>
      <c r="D20" s="58" t="str">
        <f>IF(LEN(TNwbl)&gt;0,"ok","fehlt")</f>
        <v>fehlt</v>
      </c>
    </row>
    <row r="21" spans="1:4" x14ac:dyDescent="0.2">
      <c r="A21" s="46" t="s">
        <v>166</v>
      </c>
      <c r="B21" s="58"/>
      <c r="C21" s="48" t="s">
        <v>42</v>
      </c>
      <c r="D21" s="58" t="str">
        <f>IF(LEN(TNml)&gt;0,"ok","fehlt")</f>
        <v>fehlt</v>
      </c>
    </row>
    <row r="22" spans="1:4" x14ac:dyDescent="0.2">
      <c r="A22" s="50" t="s">
        <v>230</v>
      </c>
      <c r="B22" s="58" t="str">
        <f>IF(Akauswahl&gt;=1,"ok","fehlt")</f>
        <v>fehlt</v>
      </c>
      <c r="C22" s="73" t="s">
        <v>767</v>
      </c>
      <c r="D22" s="58" t="str">
        <f>IF(LEN(TNnichtbinär)&gt;0,"ok","fehlt")</f>
        <v>fehlt</v>
      </c>
    </row>
    <row r="23" spans="1:4" x14ac:dyDescent="0.2">
      <c r="A23" s="48" t="s">
        <v>791</v>
      </c>
      <c r="B23" s="98" t="str">
        <f>IF(chartaauswahl=TRUE,"ok","fehlt")</f>
        <v>fehlt</v>
      </c>
      <c r="C23" s="75"/>
      <c r="D23" s="58"/>
    </row>
    <row r="24" spans="1:4" x14ac:dyDescent="0.2">
      <c r="A24" s="75" t="s">
        <v>980</v>
      </c>
      <c r="B24" s="98" t="str">
        <f>IF(Doplfoeauswahl=TRUE,"ok","fehlt")</f>
        <v>fehlt</v>
      </c>
      <c r="C24" s="75"/>
      <c r="D24" s="58"/>
    </row>
    <row r="25" spans="1:4" ht="19.149999999999999" customHeight="1" x14ac:dyDescent="0.3">
      <c r="A25" s="94" t="s">
        <v>172</v>
      </c>
      <c r="B25" s="95"/>
      <c r="D25" s="58"/>
    </row>
    <row r="26" spans="1:4" x14ac:dyDescent="0.2">
      <c r="A26" s="92" t="s">
        <v>94</v>
      </c>
      <c r="B26" s="96"/>
      <c r="D26" s="85"/>
    </row>
    <row r="27" spans="1:4" x14ac:dyDescent="0.2">
      <c r="A27" s="56" t="s">
        <v>74</v>
      </c>
      <c r="B27" s="96" t="str">
        <f>IF(kostges&gt;0,"ok","fehlt")</f>
        <v>fehlt</v>
      </c>
      <c r="D27" s="85"/>
    </row>
    <row r="28" spans="1:4" ht="13.5" thickBot="1" x14ac:dyDescent="0.25">
      <c r="A28" s="89" t="s">
        <v>772</v>
      </c>
      <c r="B28" s="96" t="str">
        <f>IF(esfges&gt;0,"ok","fehlt")</f>
        <v>fehlt</v>
      </c>
      <c r="C28" s="62"/>
      <c r="D28" s="58"/>
    </row>
    <row r="29" spans="1:4" ht="18" customHeight="1" x14ac:dyDescent="0.3">
      <c r="A29" s="92" t="s">
        <v>479</v>
      </c>
      <c r="B29" s="96"/>
      <c r="C29" s="63" t="s">
        <v>173</v>
      </c>
      <c r="D29" s="55"/>
    </row>
    <row r="30" spans="1:4" x14ac:dyDescent="0.2">
      <c r="A30" s="56" t="s">
        <v>535</v>
      </c>
      <c r="B30" s="88" t="str">
        <f>IF('Anmeldeformular2026-1'!M62=0,"nicht erforderlich",IF(LEN('Anmeldeformular2026-1'!H93)=0,"fehlt","ok"))</f>
        <v>nicht erforderlich</v>
      </c>
      <c r="C30" s="21" t="s">
        <v>174</v>
      </c>
      <c r="D30" s="47"/>
    </row>
    <row r="31" spans="1:4" ht="15" customHeight="1" x14ac:dyDescent="0.2">
      <c r="A31" s="89" t="s">
        <v>701</v>
      </c>
      <c r="B31" s="88" t="str">
        <f>IF('Anmeldeformular2026-1'!M62=0,"nicht erforderlich",IF(LEN('Anmeldeformular2026-1'!Q93)=0,"fehlt","ok"))</f>
        <v>nicht erforderlich</v>
      </c>
      <c r="C31" s="75" t="s">
        <v>610</v>
      </c>
      <c r="D31" s="59" t="str">
        <f>IF(LEN(Bedarf)&gt;0,"ok","fehlt")</f>
        <v>fehlt</v>
      </c>
    </row>
    <row r="32" spans="1:4" ht="17.25" customHeight="1" x14ac:dyDescent="0.2">
      <c r="A32" s="89" t="s">
        <v>674</v>
      </c>
      <c r="B32" s="88" t="str">
        <f>IF('Anmeldeformular2026-1'!M62=0,"nicht erforderlich",IF(LEN('Anmeldeformular2026-1'!Y93)=0,"fehlt","ok"))</f>
        <v>nicht erforderlich</v>
      </c>
      <c r="C32" s="75" t="s">
        <v>616</v>
      </c>
      <c r="D32" s="59" t="str">
        <f>IF(LEN(Zielvorg.)&gt;0,"ok","fehlt")</f>
        <v>fehlt</v>
      </c>
    </row>
    <row r="33" spans="1:7" ht="25.5" x14ac:dyDescent="0.2">
      <c r="A33" s="89" t="s">
        <v>783</v>
      </c>
      <c r="B33" s="88" t="str">
        <f>IF('Anmeldeformular2026-1'!M63=0,"nicht erforderlich",IF(LEN('Anmeldeformular2026-1'!H94)=0,"fehlt","ok"))</f>
        <v>nicht erforderlich</v>
      </c>
      <c r="C33" s="75" t="s">
        <v>617</v>
      </c>
      <c r="D33" s="59" t="str">
        <f>IF(LEN(Pstruktur)&gt;0,"ok","fehlt")</f>
        <v>fehlt</v>
      </c>
    </row>
    <row r="34" spans="1:7" ht="25.5" x14ac:dyDescent="0.2">
      <c r="A34" s="89" t="s">
        <v>784</v>
      </c>
      <c r="B34" s="88" t="str">
        <f>IF('Anmeldeformular2026-1'!M63=0,"nicht erforderlich",IF(LEN('Anmeldeformular2026-1'!Q94)=0,"fehlt","ok"))</f>
        <v>nicht erforderlich</v>
      </c>
      <c r="C34" s="75" t="s">
        <v>618</v>
      </c>
      <c r="D34" s="59" t="str">
        <f>IF(LEN(Indikator)&gt;0,"ok","fehlt")</f>
        <v>fehlt</v>
      </c>
    </row>
    <row r="35" spans="1:7" ht="16.149999999999999" customHeight="1" x14ac:dyDescent="0.2">
      <c r="A35" s="89" t="s">
        <v>785</v>
      </c>
      <c r="B35" s="88" t="str">
        <f>IF('Anmeldeformular2026-1'!M63=0,"nicht erforderlich",IF(LEN('Anmeldeformular2026-1'!Y94)=0,"fehlt","ok"))</f>
        <v>nicht erforderlich</v>
      </c>
      <c r="C35" s="75" t="s">
        <v>717</v>
      </c>
      <c r="D35" s="59" t="str">
        <f>IF(LEN(Koop)&gt;0,"ok","fehlt")</f>
        <v>fehlt</v>
      </c>
    </row>
    <row r="36" spans="1:7" x14ac:dyDescent="0.2">
      <c r="A36" s="89" t="s">
        <v>637</v>
      </c>
      <c r="B36" s="88" t="str">
        <f>IF('Anmeldeformular2026-1'!M64=0,"nicht erforderlich",IF(LEN('Anmeldeformular2026-1'!H95)=0,"fehlt","ok"))</f>
        <v>nicht erforderlich</v>
      </c>
      <c r="C36" s="75"/>
      <c r="D36" s="59"/>
    </row>
    <row r="37" spans="1:7" ht="13.9" customHeight="1" x14ac:dyDescent="0.2">
      <c r="A37" s="89" t="s">
        <v>692</v>
      </c>
      <c r="B37" s="88" t="str">
        <f>IF('Anmeldeformular2026-1'!M64=0,"nicht erforderlich",IF(LEN('Anmeldeformular2026-1'!Q95)=0,"fehlt","ok"))</f>
        <v>nicht erforderlich</v>
      </c>
      <c r="D37" s="59"/>
    </row>
    <row r="38" spans="1:7" x14ac:dyDescent="0.2">
      <c r="A38" s="89" t="s">
        <v>675</v>
      </c>
      <c r="B38" s="88" t="str">
        <f>IF('Anmeldeformular2026-1'!M64=0,"nicht erforderlich",IF(LEN('Anmeldeformular2026-1'!Y95)=0,"fehlt","ok"))</f>
        <v>nicht erforderlich</v>
      </c>
      <c r="C38" s="21" t="s">
        <v>805</v>
      </c>
      <c r="D38" s="59"/>
    </row>
    <row r="39" spans="1:7" x14ac:dyDescent="0.2">
      <c r="A39" s="89" t="s">
        <v>724</v>
      </c>
      <c r="B39" s="88" t="str">
        <f>IF('Anmeldeformular2026-1'!M65=0,"nicht erforderlich",IF(LEN('Anmeldeformular2026-1'!H96)=0,"fehlt","ok"))</f>
        <v>nicht erforderlich</v>
      </c>
      <c r="C39" s="75" t="s">
        <v>806</v>
      </c>
      <c r="D39" s="59" t="str">
        <f>IF(Gleichstellungsauswahl&gt;0,"ok","fehlt")</f>
        <v>fehlt</v>
      </c>
    </row>
    <row r="40" spans="1:7" x14ac:dyDescent="0.2">
      <c r="A40" s="89" t="s">
        <v>725</v>
      </c>
      <c r="B40" s="88" t="str">
        <f>IF('Anmeldeformular2026-1'!M65=0,"nicht erforderlich",IF(LEN('Anmeldeformular2026-1'!Q96)=0,"fehlt","ok"))</f>
        <v>nicht erforderlich</v>
      </c>
      <c r="C40" s="2" t="s">
        <v>807</v>
      </c>
      <c r="D40" s="59" t="str">
        <f>IF(Nichtdiskriminierungsauswahl&gt;0,"ok","fehlt")</f>
        <v>fehlt</v>
      </c>
    </row>
    <row r="41" spans="1:7" x14ac:dyDescent="0.2">
      <c r="A41" s="89" t="s">
        <v>726</v>
      </c>
      <c r="B41" s="88" t="str">
        <f>IF('Anmeldeformular2026-1'!M65=0,"nicht erforderlich",IF(LEN('Anmeldeformular2026-1'!Y96)=0,"fehlt","ok"))</f>
        <v>nicht erforderlich</v>
      </c>
      <c r="C41" s="2" t="s">
        <v>800</v>
      </c>
      <c r="D41" s="59" t="str">
        <f>IF(Transnationalauswahl&gt;0,"ok","fehlt")</f>
        <v>fehlt</v>
      </c>
    </row>
    <row r="42" spans="1:7" x14ac:dyDescent="0.2">
      <c r="A42" s="89" t="s">
        <v>727</v>
      </c>
      <c r="B42" s="88" t="str">
        <f>IF('Anmeldeformular2026-1'!M66=0,"nicht erforderlich",IF(LEN('Anmeldeformular2026-1'!H97)=0,"fehlt","ok"))</f>
        <v>nicht erforderlich</v>
      </c>
      <c r="C42" s="2" t="s">
        <v>801</v>
      </c>
      <c r="D42" s="59" t="str">
        <f>IF(Nachhaltigkeitauswahl&gt;0,"ok","fehlt")</f>
        <v>fehlt</v>
      </c>
    </row>
    <row r="43" spans="1:7" x14ac:dyDescent="0.2">
      <c r="A43" s="89" t="s">
        <v>728</v>
      </c>
      <c r="B43" s="88" t="str">
        <f>IF('Anmeldeformular2026-1'!M66=0,"nicht erforderlich",IF(LEN('Anmeldeformular2026-1'!Q97)=0,"fehlt","ok"))</f>
        <v>nicht erforderlich</v>
      </c>
      <c r="D43" s="59"/>
    </row>
    <row r="44" spans="1:7" x14ac:dyDescent="0.2">
      <c r="A44" s="89" t="s">
        <v>729</v>
      </c>
      <c r="B44" s="88" t="str">
        <f>IF('Anmeldeformular2026-1'!M66=0,"nicht erforderlich",IF(LEN('Anmeldeformular2026-1'!Y97)=0,"fehlt","ok"))</f>
        <v>nicht erforderlich</v>
      </c>
      <c r="D44" s="59"/>
      <c r="G44" s="2"/>
    </row>
    <row r="45" spans="1:7" x14ac:dyDescent="0.2">
      <c r="A45" s="89" t="s">
        <v>638</v>
      </c>
      <c r="B45" s="88" t="str">
        <f>IF('Anmeldeformular2026-1'!M67=0,"nicht erforderlich",IF(LEN('Anmeldeformular2026-1'!H98)=0,"fehlt","ok"))</f>
        <v>nicht erforderlich</v>
      </c>
      <c r="C45" s="2" t="s">
        <v>477</v>
      </c>
      <c r="D45" s="59" t="str">
        <f>IF(LEN(Quersch)&gt;0,"ok","fehlt")</f>
        <v>fehlt</v>
      </c>
    </row>
    <row r="46" spans="1:7" x14ac:dyDescent="0.2">
      <c r="A46" s="89" t="s">
        <v>693</v>
      </c>
      <c r="B46" s="88" t="str">
        <f>IF('Anmeldeformular2026-1'!M67=0,"nicht erforderlich",IF(LEN('Anmeldeformular2026-1'!Q98)=0,"fehlt","ok"))</f>
        <v>nicht erforderlich</v>
      </c>
      <c r="C46" s="75" t="s">
        <v>811</v>
      </c>
      <c r="D46" s="59" t="str">
        <f>IF(Entschuldung&gt;0,"ok","fehlt")</f>
        <v>fehlt</v>
      </c>
    </row>
    <row r="47" spans="1:7" ht="13.5" thickBot="1" x14ac:dyDescent="0.25">
      <c r="A47" s="89" t="s">
        <v>676</v>
      </c>
      <c r="B47" s="88" t="str">
        <f>IF('Anmeldeformular2026-1'!M67=0,"nicht erforderlich",IF(LEN('Anmeldeformular2026-1'!Y98)=0,"fehlt","ok"))</f>
        <v>nicht erforderlich</v>
      </c>
      <c r="C47" s="62" t="s">
        <v>478</v>
      </c>
      <c r="D47" s="60" t="str">
        <f>IF(EuropaIch&gt;0,"ok","fehlt")</f>
        <v>fehlt</v>
      </c>
    </row>
    <row r="48" spans="1:7" x14ac:dyDescent="0.2">
      <c r="A48" s="89" t="s">
        <v>639</v>
      </c>
      <c r="B48" s="88" t="str">
        <f>IF('Anmeldeformular2026-1'!M68=0,"nicht erforderlich",IF(LEN('Anmeldeformular2026-1'!H99)=0,"fehlt","ok"))</f>
        <v>nicht erforderlich</v>
      </c>
    </row>
    <row r="49" spans="1:4" x14ac:dyDescent="0.2">
      <c r="A49" s="89" t="s">
        <v>694</v>
      </c>
      <c r="B49" s="88" t="str">
        <f>IF('Anmeldeformular2026-1'!M68=0,"nicht erforderlich",IF(LEN('Anmeldeformular2026-1'!Q99)=0,"fehlt","ok"))</f>
        <v>nicht erforderlich</v>
      </c>
      <c r="C49" s="574">
        <f>Tname</f>
        <v>0</v>
      </c>
      <c r="D49" s="574"/>
    </row>
    <row r="50" spans="1:4" x14ac:dyDescent="0.2">
      <c r="A50" s="89" t="s">
        <v>677</v>
      </c>
      <c r="B50" s="88" t="str">
        <f>IF('Anmeldeformular2026-1'!M68=0,"nicht erforderlich",IF(LEN('Anmeldeformular2026-1'!Y99)=0,"fehlt","ok"))</f>
        <v>nicht erforderlich</v>
      </c>
      <c r="C50" s="573">
        <f>Ptitel</f>
        <v>0</v>
      </c>
      <c r="D50" s="573"/>
    </row>
    <row r="51" spans="1:4" x14ac:dyDescent="0.2">
      <c r="A51" s="89" t="s">
        <v>730</v>
      </c>
      <c r="B51" s="88" t="str">
        <f>IF('Anmeldeformular2026-1'!M69=0,"nicht erforderlich",IF(LEN('Anmeldeformular2026-1'!H100)=0,"fehlt","ok"))</f>
        <v>nicht erforderlich</v>
      </c>
      <c r="C51" s="573"/>
      <c r="D51" s="573"/>
    </row>
    <row r="52" spans="1:4" x14ac:dyDescent="0.2">
      <c r="A52" s="89" t="s">
        <v>731</v>
      </c>
      <c r="B52" s="88" t="str">
        <f>IF('Anmeldeformular2026-1'!M69=0,"nicht erforderlich",IF(LEN('Anmeldeformular2026-1'!Q100)=0,"fehlt","ok"))</f>
        <v>nicht erforderlich</v>
      </c>
    </row>
    <row r="53" spans="1:4" x14ac:dyDescent="0.2">
      <c r="A53" s="89" t="s">
        <v>732</v>
      </c>
      <c r="B53" s="88" t="str">
        <f>IF('Anmeldeformular2026-1'!M69=0,"nicht erforderlich",IF(LEN('Anmeldeformular2026-1'!Y100)=0,"fehlt","ok"))</f>
        <v>nicht erforderlich</v>
      </c>
      <c r="C53" s="574"/>
      <c r="D53" s="574"/>
    </row>
    <row r="54" spans="1:4" x14ac:dyDescent="0.2">
      <c r="A54" s="89" t="s">
        <v>607</v>
      </c>
      <c r="B54" s="88" t="str">
        <f>IF('Anmeldeformular2026-1'!M70=0,"nicht erforderlich",IF(LEN('Anmeldeformular2026-1'!H101)=0,"fehlt","ok"))</f>
        <v>nicht erforderlich</v>
      </c>
    </row>
    <row r="55" spans="1:4" x14ac:dyDescent="0.2">
      <c r="A55" s="89" t="s">
        <v>695</v>
      </c>
      <c r="B55" s="88" t="str">
        <f>IF('Anmeldeformular2026-1'!M70=0,"nicht erforderlich",IF(LEN('Anmeldeformular2026-1'!Q101)=0,"fehlt","ok"))</f>
        <v>nicht erforderlich</v>
      </c>
      <c r="C55" s="572"/>
    </row>
    <row r="56" spans="1:4" x14ac:dyDescent="0.2">
      <c r="A56" s="89" t="s">
        <v>678</v>
      </c>
      <c r="B56" s="88" t="str">
        <f>IF('Anmeldeformular2026-1'!M70=0,"nicht erforderlich",IF(LEN('Anmeldeformular2026-1'!Y101)=0,"fehlt","ok"))</f>
        <v>nicht erforderlich</v>
      </c>
      <c r="C56" s="572"/>
    </row>
    <row r="57" spans="1:4" x14ac:dyDescent="0.2">
      <c r="A57" s="89" t="s">
        <v>606</v>
      </c>
      <c r="B57" s="88" t="str">
        <f>IF('Anmeldeformular2026-1'!M71=0,"nicht erforderlich",IF(LEN('Anmeldeformular2026-1'!H102)=0,"fehlt","ok"))</f>
        <v>nicht erforderlich</v>
      </c>
    </row>
    <row r="58" spans="1:4" x14ac:dyDescent="0.2">
      <c r="A58" s="89" t="s">
        <v>696</v>
      </c>
      <c r="B58" s="88" t="str">
        <f>IF('Anmeldeformular2026-1'!M71=0,"nicht erforderlich",IF(LEN('Anmeldeformular2026-1'!Q102)=0,"fehlt","ok"))</f>
        <v>nicht erforderlich</v>
      </c>
    </row>
    <row r="59" spans="1:4" x14ac:dyDescent="0.2">
      <c r="A59" s="89" t="s">
        <v>679</v>
      </c>
      <c r="B59" s="88" t="str">
        <f>IF('Anmeldeformular2026-1'!M71=0,"nicht erforderlich",IF(LEN('Anmeldeformular2026-1'!Y102)=0,"fehlt","ok"))</f>
        <v>nicht erforderlich</v>
      </c>
    </row>
    <row r="60" spans="1:4" x14ac:dyDescent="0.2">
      <c r="A60" s="89" t="s">
        <v>640</v>
      </c>
      <c r="B60" s="88" t="str">
        <f>IF('Anmeldeformular2026-1'!M72=0,"nicht erforderlich",IF(LEN('Anmeldeformular2026-1'!H103)=0,"fehlt","ok"))</f>
        <v>nicht erforderlich</v>
      </c>
    </row>
    <row r="61" spans="1:4" x14ac:dyDescent="0.2">
      <c r="A61" s="89" t="s">
        <v>697</v>
      </c>
      <c r="B61" s="88" t="str">
        <f>IF('Anmeldeformular2026-1'!M72=0,"nicht erforderlich",IF(LEN('Anmeldeformular2026-1'!Q103)=0,"fehlt","ok"))</f>
        <v>nicht erforderlich</v>
      </c>
    </row>
    <row r="62" spans="1:4" x14ac:dyDescent="0.2">
      <c r="A62" s="89" t="s">
        <v>680</v>
      </c>
      <c r="B62" s="88" t="str">
        <f>IF('Anmeldeformular2026-1'!M72=0,"nicht erforderlich",IF(LEN('Anmeldeformular2026-1'!Y103)=0,"fehlt","ok"))</f>
        <v>nicht erforderlich</v>
      </c>
    </row>
    <row r="63" spans="1:4" x14ac:dyDescent="0.2">
      <c r="A63" s="89" t="s">
        <v>608</v>
      </c>
      <c r="B63" s="88" t="str">
        <f>IF('Anmeldeformular2026-1'!M73=0,"nicht erforderlich",IF(LEN('Anmeldeformular2026-1'!H104)=0,"fehlt","ok"))</f>
        <v>nicht erforderlich</v>
      </c>
    </row>
    <row r="64" spans="1:4" ht="14.45" customHeight="1" x14ac:dyDescent="0.2">
      <c r="A64" s="89" t="s">
        <v>698</v>
      </c>
      <c r="B64" s="88" t="str">
        <f>IF('Anmeldeformular2026-1'!M73=0,"nicht erforderlich",IF(LEN('Anmeldeformular2026-1'!Q104)=0,"fehlt","ok"))</f>
        <v>nicht erforderlich</v>
      </c>
    </row>
    <row r="65" spans="1:2" x14ac:dyDescent="0.2">
      <c r="A65" s="89" t="s">
        <v>681</v>
      </c>
      <c r="B65" s="88" t="str">
        <f>IF('Anmeldeformular2026-1'!M73=0,"nicht erforderlich",IF(LEN('Anmeldeformular2026-1'!Y104)=0,"fehlt","ok"))</f>
        <v>nicht erforderlich</v>
      </c>
    </row>
    <row r="66" spans="1:2" x14ac:dyDescent="0.2">
      <c r="A66" s="89" t="s">
        <v>641</v>
      </c>
      <c r="B66" s="88" t="str">
        <f>IF('Anmeldeformular2026-1'!M75=0,"nicht erforderlich",IF(LEN('Anmeldeformular2026-1'!H105)=0,"fehlt","ok"))</f>
        <v>nicht erforderlich</v>
      </c>
    </row>
    <row r="67" spans="1:2" ht="14.45" customHeight="1" x14ac:dyDescent="0.2">
      <c r="A67" s="89" t="s">
        <v>699</v>
      </c>
      <c r="B67" s="88" t="str">
        <f>IF('Anmeldeformular2026-1'!M75=0,"nicht erforderlich",IF(LEN('Anmeldeformular2026-1'!Q105)=0,"fehlt","ok"))</f>
        <v>nicht erforderlich</v>
      </c>
    </row>
    <row r="68" spans="1:2" x14ac:dyDescent="0.2">
      <c r="A68" s="90" t="s">
        <v>682</v>
      </c>
      <c r="B68" s="88" t="str">
        <f>IF('Anmeldeformular2026-1'!M75=0,"nicht erforderlich",IF(LEN('Anmeldeformular2026-1'!Y105)=0,"fehlt","ok"))</f>
        <v>nicht erforderlich</v>
      </c>
    </row>
    <row r="69" spans="1:2" x14ac:dyDescent="0.2">
      <c r="A69" s="89" t="s">
        <v>673</v>
      </c>
      <c r="B69" s="88" t="str">
        <f>IF('Anmeldeformular2026-1'!M79=0,"nicht erforderlich",IF(LEN('Anmeldeformular2026-1'!H106)=0,"fehlt","ok"))</f>
        <v>nicht erforderlich</v>
      </c>
    </row>
    <row r="70" spans="1:2" x14ac:dyDescent="0.2">
      <c r="A70" s="89" t="s">
        <v>700</v>
      </c>
      <c r="B70" s="88" t="str">
        <f>IF('Anmeldeformular2026-1'!M79=0,"nicht erforderlich",IF(LEN('Anmeldeformular2026-1'!Q106)=0,"fehlt","ok"))</f>
        <v>nicht erforderlich</v>
      </c>
    </row>
    <row r="71" spans="1:2" x14ac:dyDescent="0.2">
      <c r="A71" s="93" t="s">
        <v>683</v>
      </c>
      <c r="B71" s="97" t="str">
        <f>IF('Anmeldeformular2026-1'!M79=0,"nicht erforderlich",IF(LEN('Anmeldeformular2026-1'!Y106)=0,"fehlt","ok"))</f>
        <v>nicht erforderlich</v>
      </c>
    </row>
  </sheetData>
  <sheetProtection algorithmName="SHA-512" hashValue="tVF0KWoHrYqi2cDc8LZ3RF+sI/8EIX1qtMHTPe0zZZ/dAfm/ir7gRaUCEYhUCXEPqrGaBJGmIVi6VdT3kWsbsA==" saltValue="4vjv3yWmtJXjMV7gQzoiYQ==" spinCount="100000" sheet="1"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5:C56"/>
    <mergeCell ref="C50:D51"/>
    <mergeCell ref="C49:D49"/>
    <mergeCell ref="C53:D53"/>
  </mergeCells>
  <phoneticPr fontId="19" type="noConversion"/>
  <conditionalFormatting sqref="B4:B9 B22:B24">
    <cfRule type="cellIs" dxfId="6" priority="2" stopIfTrue="1" operator="equal">
      <formula>"fehlt"</formula>
    </cfRule>
  </conditionalFormatting>
  <conditionalFormatting sqref="B12:B20">
    <cfRule type="cellIs" dxfId="5" priority="10" stopIfTrue="1" operator="equal">
      <formula>"fehlt"</formula>
    </cfRule>
  </conditionalFormatting>
  <conditionalFormatting sqref="B26:B71">
    <cfRule type="cellIs" dxfId="4" priority="5" stopIfTrue="1" operator="equal">
      <formula>"fehlt"</formula>
    </cfRule>
  </conditionalFormatting>
  <conditionalFormatting sqref="D2:D3 B11 B21">
    <cfRule type="cellIs" dxfId="3" priority="8" stopIfTrue="1" operator="equal">
      <formula>"ok"</formula>
    </cfRule>
  </conditionalFormatting>
  <conditionalFormatting sqref="D4:D28 D31:D37">
    <cfRule type="cellIs" dxfId="2" priority="9" stopIfTrue="1" operator="equal">
      <formula>"fehlt"</formula>
    </cfRule>
  </conditionalFormatting>
  <conditionalFormatting sqref="D39:D47">
    <cfRule type="cellIs" dxfId="1" priority="1" stopIfTrue="1" operator="equal">
      <formula>"fehlt"</formula>
    </cfRule>
  </conditionalFormatting>
  <printOptions heading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4" workbookViewId="0">
      <selection activeCell="A5" sqref="A5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6" t="s">
        <v>85</v>
      </c>
      <c r="B3" s="5"/>
      <c r="C3" s="6" t="s">
        <v>85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s="2" customFormat="1" ht="69.75" customHeight="1" x14ac:dyDescent="0.2">
      <c r="A4" s="76" t="s">
        <v>615</v>
      </c>
      <c r="B4" s="77"/>
      <c r="C4" s="76" t="s">
        <v>611</v>
      </c>
      <c r="D4" s="77"/>
      <c r="E4" s="76" t="s">
        <v>612</v>
      </c>
      <c r="F4" s="77"/>
      <c r="G4" s="76" t="s">
        <v>613</v>
      </c>
      <c r="H4" s="77"/>
      <c r="I4" s="78" t="s">
        <v>614</v>
      </c>
      <c r="J4" s="77"/>
      <c r="K4" s="77"/>
      <c r="L4" s="77" t="s">
        <v>141</v>
      </c>
      <c r="M4" s="77"/>
      <c r="N4" s="77" t="s">
        <v>145</v>
      </c>
      <c r="O4" s="77"/>
      <c r="P4" s="77" t="s">
        <v>150</v>
      </c>
      <c r="Q4" s="77"/>
      <c r="S4" s="77" t="s">
        <v>142</v>
      </c>
      <c r="T4" s="77"/>
    </row>
    <row r="5" spans="1:20" x14ac:dyDescent="0.2">
      <c r="A5" s="19" t="b">
        <v>0</v>
      </c>
      <c r="B5" s="18" t="str">
        <f>IF(A5=TRUE,"Quantitativ u.qualitativ (sehr) gut.",IF(A5=FALSE,""))</f>
        <v/>
      </c>
      <c r="C5" s="19" t="b">
        <v>0</v>
      </c>
      <c r="D5" s="18" t="str">
        <f>IF(C5=TRUE,"Detaillierte Beschreibung- Anforderung der Rahmenbedingungen voll erfüllt.",IF(C5=FALSE,""))</f>
        <v/>
      </c>
      <c r="E5" s="19" t="b">
        <v>0</v>
      </c>
      <c r="F5" s="18" t="str">
        <f>IF(E5=TRUE,"Detaillierte Beschreibung - Anforderung der Rahmenbedingung voll  erfüllt.",IF(E5=FALSE,""))</f>
        <v/>
      </c>
      <c r="G5" s="19" t="b">
        <v>0</v>
      </c>
      <c r="H5" s="18" t="str">
        <f>IF(G5=TRUE,"Aussagekräftig, passend zu  Rahmendbed..",IF(G5=FALSE,""))</f>
        <v/>
      </c>
      <c r="I5" s="5" t="b">
        <v>0</v>
      </c>
      <c r="J5" s="39" t="str">
        <f>IF(I5=TRUE,"Einbindung in reg. Strukturen vorhanden.",IF(I5=FALSE,""))</f>
        <v/>
      </c>
      <c r="K5" s="5"/>
      <c r="L5" s="5" t="b">
        <v>1</v>
      </c>
      <c r="M5" s="5" t="str">
        <f>IF(L5=TRUE,"Aufbau, Zeitplan, Ablauf schlüssig.",IF(L5=FALSE,""))</f>
        <v>Aufbau, Zeitplan, Ablauf schlüssig.</v>
      </c>
      <c r="N5" s="5" t="b">
        <v>1</v>
      </c>
      <c r="O5" s="5" t="str">
        <f>IF(N5=TRUE,"Einbindung in reg. Strukturen vorhanden.",IF(N5=FALSE,""))</f>
        <v>Einbindung in reg. Strukturen vorhanden.</v>
      </c>
      <c r="P5" s="5" t="b">
        <v>0</v>
      </c>
      <c r="Q5" s="5" t="str">
        <f>IF(P5=TRUE,"Angemessene Methoden u. Instrumente.",IF(P5=FALSE,""))</f>
        <v/>
      </c>
      <c r="S5" s="5" t="b">
        <v>0</v>
      </c>
      <c r="T5" s="5" t="str">
        <f>IF(S5=TRUE,"Hervorhebendes Merkmal vorhanden.",IF(S5=FALSE,""))</f>
        <v/>
      </c>
    </row>
    <row r="6" spans="1:20" x14ac:dyDescent="0.2">
      <c r="A6" s="19" t="b">
        <v>0</v>
      </c>
      <c r="B6" s="18" t="str">
        <f>IF(A6=TRUE,"Zu allgemein.",IF(A6=FALSE,""))</f>
        <v/>
      </c>
      <c r="C6" s="19" t="b">
        <v>0</v>
      </c>
      <c r="D6" s="18" t="str">
        <f>IF(C6=TRUE,"Oberflächlich-ungenaue Beschreibung.",IF(C6=FALSE,""))</f>
        <v/>
      </c>
      <c r="E6" s="19" t="b">
        <v>0</v>
      </c>
      <c r="F6" s="18" t="str">
        <f>IF(E6=TRUE,"Ungenaue Beschreibung, nur Ansätze.",IF(E6=FALSE,""))</f>
        <v/>
      </c>
      <c r="G6" s="19" t="b">
        <v>0</v>
      </c>
      <c r="H6" s="18" t="str">
        <f>IF(G6=TRUE,"Ungenaue Beschreibung",IF(G6=FALSE,""))</f>
        <v/>
      </c>
      <c r="I6" s="5" t="b">
        <v>0</v>
      </c>
      <c r="J6" s="39" t="str">
        <f>IF(I6=TRUE,"Allgemeine Aussagen, unkonkret.",IF(I6=FALSE,""))</f>
        <v/>
      </c>
      <c r="K6" s="5"/>
      <c r="L6" s="5" t="b">
        <v>0</v>
      </c>
      <c r="M6" s="5" t="str">
        <f>IF(L6=TRUE,"Unvollständige Darstellung.",IF(L6=FALSE,""))</f>
        <v/>
      </c>
      <c r="N6" s="5" t="b">
        <v>0</v>
      </c>
      <c r="O6" s="5" t="str">
        <f>IF(N6=TRUE,"Allgemeine Aussagen, unkonkret.",IF(N6=FALSE,""))</f>
        <v/>
      </c>
      <c r="P6" s="5" t="b">
        <v>0</v>
      </c>
      <c r="Q6" s="5" t="str">
        <f>IF(P6=TRUE,"Nennung von Methoden ohne Erläuterung.",IF(P6=FALSE,""))</f>
        <v/>
      </c>
      <c r="S6" s="5"/>
      <c r="T6" s="5"/>
    </row>
    <row r="7" spans="1:20" x14ac:dyDescent="0.2">
      <c r="A7" s="19" t="b">
        <v>0</v>
      </c>
      <c r="B7" s="18" t="str">
        <f>IF(A7=TRUE,"Erhebliche Defizite.",IF(A7=FALSE,""))</f>
        <v/>
      </c>
      <c r="C7" s="19" t="b">
        <v>0</v>
      </c>
      <c r="D7" s="18" t="str">
        <f>IF(C7=TRUE,"Erhebliche Defizite.",IF(C7=FALSE,""))</f>
        <v/>
      </c>
      <c r="E7" s="19" t="b">
        <v>0</v>
      </c>
      <c r="F7" s="18" t="str">
        <f>IF(E7=TRUE,"Erhebliche Defizite.",IF(E7=FALSE,""))</f>
        <v/>
      </c>
      <c r="G7" s="19" t="b">
        <v>0</v>
      </c>
      <c r="H7" s="18" t="str">
        <f>IF(G7=TRUE,"Erhebliche Defizite.",IF(G7=FALSE,""))</f>
        <v/>
      </c>
      <c r="I7" s="5" t="b">
        <v>0</v>
      </c>
      <c r="J7" s="39" t="str">
        <f>IF(I7=TRUE,"Erhebliche Defizite.",IF(I7=FALSE,""))</f>
        <v/>
      </c>
      <c r="K7" s="5"/>
      <c r="L7" s="5" t="b">
        <v>0</v>
      </c>
      <c r="M7" s="5" t="str">
        <f>IF(L7=TRUE,"Erhebliche Defizite.",IF(L7=FALSE,""))</f>
        <v/>
      </c>
      <c r="N7" s="5" t="b">
        <v>0</v>
      </c>
      <c r="O7" s="5" t="str">
        <f>IF(N7=TRUE,"Erhebliche Defizite.",IF(N7=FALSE,""))</f>
        <v/>
      </c>
      <c r="P7" s="5" t="b">
        <v>0</v>
      </c>
      <c r="Q7" s="5" t="str">
        <f>IF(P7=TRUE,"Erhebliche Defizite.",IF(P7=FALSE,""))</f>
        <v/>
      </c>
      <c r="S7" s="5"/>
      <c r="T7" s="5"/>
    </row>
    <row r="8" spans="1:20" x14ac:dyDescent="0.2">
      <c r="A8" s="5" t="s">
        <v>109</v>
      </c>
      <c r="B8" s="5" t="str">
        <f>CONCATENATE(B5,B6,B7)</f>
        <v/>
      </c>
      <c r="C8" s="5" t="s">
        <v>109</v>
      </c>
      <c r="D8" s="5" t="str">
        <f>CONCATENATE(D5,D6,D7)</f>
        <v/>
      </c>
      <c r="E8" s="5" t="s">
        <v>109</v>
      </c>
      <c r="F8" s="5" t="str">
        <f>CONCATENATE(F5,F6,F7)</f>
        <v/>
      </c>
      <c r="G8" s="5" t="s">
        <v>109</v>
      </c>
      <c r="H8" s="5" t="str">
        <f>CONCATENATE(H5,H6,H7)</f>
        <v/>
      </c>
      <c r="I8" s="5" t="s">
        <v>109</v>
      </c>
      <c r="J8" s="5" t="str">
        <f>CONCATENATE(J5,J6,J7)</f>
        <v/>
      </c>
      <c r="K8" s="5"/>
      <c r="L8" s="5" t="s">
        <v>109</v>
      </c>
      <c r="M8" s="5" t="str">
        <f>CONCATENATE(M5,M6,M7)</f>
        <v>Aufbau, Zeitplan, Ablauf schlüssig.</v>
      </c>
      <c r="N8" s="5" t="s">
        <v>109</v>
      </c>
      <c r="O8" s="5" t="str">
        <f>CONCATENATE(O5,O6,O7)</f>
        <v>Einbindung in reg. Strukturen vorhanden.</v>
      </c>
      <c r="P8" s="5" t="s">
        <v>109</v>
      </c>
      <c r="Q8" s="5" t="str">
        <f>CONCATENATE(Q5,Q6,Q7)</f>
        <v/>
      </c>
      <c r="S8" s="5" t="s">
        <v>109</v>
      </c>
      <c r="T8" s="5" t="str">
        <f>CONCATENATE(T5,T6,T7)</f>
        <v/>
      </c>
    </row>
    <row r="11" spans="1:20" x14ac:dyDescent="0.2">
      <c r="A11" t="s">
        <v>116</v>
      </c>
    </row>
    <row r="12" spans="1:20" s="2" customFormat="1" ht="81" customHeight="1" x14ac:dyDescent="0.2">
      <c r="A12" s="2" t="s">
        <v>615</v>
      </c>
      <c r="B12" s="2" t="s">
        <v>611</v>
      </c>
      <c r="C12" s="2" t="s">
        <v>612</v>
      </c>
      <c r="D12" s="2" t="s">
        <v>613</v>
      </c>
      <c r="E12" s="2" t="s">
        <v>614</v>
      </c>
      <c r="F12" s="2" t="s">
        <v>141</v>
      </c>
      <c r="G12" s="2" t="s">
        <v>145</v>
      </c>
      <c r="H12" s="2" t="s">
        <v>147</v>
      </c>
      <c r="J12" s="2" t="s">
        <v>146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50</v>
      </c>
      <c r="D19">
        <f>Beginn</f>
        <v>0</v>
      </c>
    </row>
    <row r="20" spans="3:4" x14ac:dyDescent="0.2">
      <c r="C20" t="s">
        <v>51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114</v>
      </c>
    </row>
    <row r="25" spans="3:4" x14ac:dyDescent="0.2">
      <c r="D25" t="s">
        <v>540</v>
      </c>
    </row>
    <row r="28" spans="3:4" x14ac:dyDescent="0.2">
      <c r="D28" s="5" t="s">
        <v>117</v>
      </c>
    </row>
    <row r="29" spans="3:4" x14ac:dyDescent="0.2">
      <c r="D29" s="5" t="s">
        <v>110</v>
      </c>
    </row>
    <row r="30" spans="3:4" x14ac:dyDescent="0.2">
      <c r="D30" s="5" t="s">
        <v>111</v>
      </c>
    </row>
    <row r="31" spans="3:4" x14ac:dyDescent="0.2">
      <c r="D31" s="5" t="s">
        <v>541</v>
      </c>
    </row>
    <row r="32" spans="3:4" x14ac:dyDescent="0.2">
      <c r="D32" s="5" t="s">
        <v>542</v>
      </c>
    </row>
    <row r="36" spans="4:4" x14ac:dyDescent="0.2">
      <c r="D36" s="5" t="s">
        <v>573</v>
      </c>
    </row>
    <row r="37" spans="4:4" x14ac:dyDescent="0.2">
      <c r="D37" s="5" t="s">
        <v>574</v>
      </c>
    </row>
    <row r="38" spans="4:4" x14ac:dyDescent="0.2">
      <c r="D38" s="5" t="s">
        <v>575</v>
      </c>
    </row>
    <row r="39" spans="4:4" x14ac:dyDescent="0.2">
      <c r="D39" s="5" t="s">
        <v>576</v>
      </c>
    </row>
    <row r="40" spans="4:4" x14ac:dyDescent="0.2">
      <c r="D40" s="5" t="s">
        <v>577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Q20"/>
  <sheetViews>
    <sheetView workbookViewId="0">
      <selection activeCell="B3" sqref="B3"/>
    </sheetView>
  </sheetViews>
  <sheetFormatPr baseColWidth="10" defaultRowHeight="12.75" x14ac:dyDescent="0.2"/>
  <cols>
    <col min="1" max="1" width="7.42578125" style="79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9" width="15.85546875" customWidth="1"/>
    <col min="10" max="12" width="19.85546875" customWidth="1"/>
    <col min="13" max="13" width="11.42578125" style="36" customWidth="1"/>
    <col min="14" max="16" width="12.7109375" style="36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5" width="18.140625" customWidth="1"/>
    <col min="36" max="36" width="10.28515625" customWidth="1"/>
    <col min="37" max="39" width="6.42578125" customWidth="1"/>
    <col min="40" max="40" width="7.85546875" customWidth="1"/>
    <col min="41" max="41" width="14.42578125" customWidth="1"/>
    <col min="42" max="43" width="10.85546875" customWidth="1"/>
    <col min="45" max="135" width="11.42578125" style="43" customWidth="1"/>
  </cols>
  <sheetData>
    <row r="1" spans="1:147" x14ac:dyDescent="0.2">
      <c r="B1" t="s">
        <v>481</v>
      </c>
      <c r="C1" s="65" t="s">
        <v>586</v>
      </c>
      <c r="J1" t="s">
        <v>209</v>
      </c>
      <c r="K1" s="65" t="s">
        <v>794</v>
      </c>
      <c r="L1" t="s">
        <v>211</v>
      </c>
      <c r="M1" s="36" t="s">
        <v>50</v>
      </c>
      <c r="N1" s="36" t="s">
        <v>51</v>
      </c>
      <c r="O1" s="86" t="s">
        <v>470</v>
      </c>
      <c r="P1" s="86" t="s">
        <v>671</v>
      </c>
      <c r="Q1" t="s">
        <v>212</v>
      </c>
      <c r="R1" t="s">
        <v>213</v>
      </c>
      <c r="S1" t="s">
        <v>214</v>
      </c>
      <c r="T1" s="65" t="s">
        <v>643</v>
      </c>
      <c r="U1" s="65" t="s">
        <v>642</v>
      </c>
      <c r="V1" s="65" t="s">
        <v>195</v>
      </c>
      <c r="W1" s="65" t="s">
        <v>196</v>
      </c>
      <c r="X1" t="s">
        <v>204</v>
      </c>
      <c r="Y1" t="s">
        <v>216</v>
      </c>
      <c r="Z1" t="s">
        <v>275</v>
      </c>
      <c r="AA1" t="s">
        <v>619</v>
      </c>
      <c r="AB1" t="s">
        <v>622</v>
      </c>
      <c r="AC1" t="s">
        <v>248</v>
      </c>
      <c r="AD1" t="s">
        <v>342</v>
      </c>
      <c r="AE1" t="s">
        <v>246</v>
      </c>
      <c r="AF1" t="s">
        <v>520</v>
      </c>
      <c r="AG1" t="s">
        <v>162</v>
      </c>
      <c r="AH1" s="65" t="s">
        <v>743</v>
      </c>
      <c r="AI1" s="65" t="s">
        <v>814</v>
      </c>
      <c r="AJ1" t="s">
        <v>292</v>
      </c>
      <c r="AK1" t="s">
        <v>293</v>
      </c>
      <c r="AL1" t="s">
        <v>217</v>
      </c>
      <c r="AM1" t="s">
        <v>218</v>
      </c>
      <c r="AN1" s="65" t="s">
        <v>773</v>
      </c>
      <c r="AO1" t="s">
        <v>311</v>
      </c>
      <c r="AR1" t="s">
        <v>302</v>
      </c>
      <c r="AS1" s="43" t="s">
        <v>303</v>
      </c>
      <c r="AT1" s="74" t="s">
        <v>703</v>
      </c>
      <c r="AW1" s="43" t="s">
        <v>168</v>
      </c>
      <c r="AX1" s="43" t="s">
        <v>164</v>
      </c>
      <c r="AY1" s="74" t="s">
        <v>702</v>
      </c>
      <c r="BB1" s="74" t="s">
        <v>736</v>
      </c>
      <c r="BC1" s="74" t="s">
        <v>737</v>
      </c>
      <c r="BD1" s="74" t="s">
        <v>738</v>
      </c>
      <c r="BG1" s="74" t="s">
        <v>776</v>
      </c>
      <c r="BH1" s="74" t="s">
        <v>745</v>
      </c>
      <c r="BI1" s="74" t="s">
        <v>744</v>
      </c>
      <c r="BJ1" s="74"/>
      <c r="BK1" s="74"/>
      <c r="BL1" s="74" t="s">
        <v>644</v>
      </c>
      <c r="BM1" s="74" t="s">
        <v>631</v>
      </c>
      <c r="BN1" s="74" t="s">
        <v>704</v>
      </c>
      <c r="BO1" s="74"/>
      <c r="BP1" s="74"/>
      <c r="BQ1" s="74" t="s">
        <v>746</v>
      </c>
      <c r="BR1" s="74" t="s">
        <v>747</v>
      </c>
      <c r="BS1" s="74" t="s">
        <v>748</v>
      </c>
      <c r="BT1" s="74"/>
      <c r="BU1" s="74"/>
      <c r="BV1" s="74" t="s">
        <v>654</v>
      </c>
      <c r="BW1" s="74" t="s">
        <v>655</v>
      </c>
      <c r="BX1" s="74" t="s">
        <v>705</v>
      </c>
      <c r="BY1" s="74"/>
      <c r="BZ1" s="74"/>
      <c r="CA1" s="74" t="s">
        <v>645</v>
      </c>
      <c r="CB1" s="74" t="s">
        <v>646</v>
      </c>
      <c r="CC1" s="74" t="s">
        <v>706</v>
      </c>
      <c r="CD1" s="74"/>
      <c r="CE1" s="74"/>
      <c r="CF1" s="74" t="s">
        <v>739</v>
      </c>
      <c r="CG1" s="74" t="s">
        <v>740</v>
      </c>
      <c r="CH1" s="74" t="s">
        <v>741</v>
      </c>
      <c r="CI1" s="74"/>
      <c r="CJ1" s="74"/>
      <c r="CK1" s="74" t="s">
        <v>656</v>
      </c>
      <c r="CL1" s="74" t="s">
        <v>657</v>
      </c>
      <c r="CM1" s="74" t="s">
        <v>707</v>
      </c>
      <c r="CP1" s="43" t="s">
        <v>593</v>
      </c>
      <c r="CQ1" s="43" t="s">
        <v>594</v>
      </c>
      <c r="CR1" s="74" t="s">
        <v>708</v>
      </c>
      <c r="CU1" s="74" t="s">
        <v>625</v>
      </c>
      <c r="CV1" s="74" t="s">
        <v>624</v>
      </c>
      <c r="CW1" s="74" t="s">
        <v>347</v>
      </c>
      <c r="CX1" s="74"/>
      <c r="CY1" s="74"/>
      <c r="CZ1" s="43" t="s">
        <v>595</v>
      </c>
      <c r="DA1" s="43" t="s">
        <v>596</v>
      </c>
      <c r="DB1" s="74" t="s">
        <v>709</v>
      </c>
      <c r="DE1" s="74" t="s">
        <v>658</v>
      </c>
      <c r="DF1" s="74" t="s">
        <v>659</v>
      </c>
      <c r="DG1" s="74" t="s">
        <v>710</v>
      </c>
      <c r="DJ1" s="43" t="s">
        <v>361</v>
      </c>
      <c r="DK1" s="43" t="s">
        <v>182</v>
      </c>
      <c r="DL1" s="74" t="s">
        <v>183</v>
      </c>
      <c r="DO1" s="74" t="s">
        <v>660</v>
      </c>
      <c r="DP1" s="74" t="s">
        <v>661</v>
      </c>
      <c r="DQ1" s="74" t="s">
        <v>711</v>
      </c>
      <c r="DT1" s="74" t="s">
        <v>662</v>
      </c>
      <c r="DU1" s="74" t="s">
        <v>663</v>
      </c>
      <c r="DV1" s="74" t="s">
        <v>712</v>
      </c>
      <c r="DY1" s="74" t="s">
        <v>664</v>
      </c>
      <c r="DZ1" s="74" t="s">
        <v>665</v>
      </c>
      <c r="EA1" s="74" t="s">
        <v>777</v>
      </c>
      <c r="ED1" s="43" t="s">
        <v>369</v>
      </c>
      <c r="EE1" s="43" t="s">
        <v>364</v>
      </c>
      <c r="EF1" s="74" t="s">
        <v>366</v>
      </c>
      <c r="EG1" s="43"/>
      <c r="EH1" s="43"/>
      <c r="EI1" s="43" t="s">
        <v>468</v>
      </c>
      <c r="EJ1" s="43" t="s">
        <v>463</v>
      </c>
      <c r="EK1" s="74" t="s">
        <v>465</v>
      </c>
      <c r="EL1" s="43"/>
      <c r="EM1" s="43"/>
      <c r="EN1" s="74" t="s">
        <v>662</v>
      </c>
      <c r="EO1" s="43" t="s">
        <v>307</v>
      </c>
      <c r="EP1" t="s">
        <v>401</v>
      </c>
    </row>
    <row r="2" spans="1:147" s="4" customFormat="1" ht="60" customHeight="1" x14ac:dyDescent="0.2">
      <c r="A2" s="24" t="s">
        <v>313</v>
      </c>
      <c r="B2" s="29" t="s">
        <v>127</v>
      </c>
      <c r="C2" s="29" t="s">
        <v>585</v>
      </c>
      <c r="D2" s="26" t="s">
        <v>582</v>
      </c>
      <c r="E2" s="26" t="s">
        <v>581</v>
      </c>
      <c r="F2" s="26" t="s">
        <v>580</v>
      </c>
      <c r="G2" s="26" t="s">
        <v>579</v>
      </c>
      <c r="H2" s="29" t="s">
        <v>589</v>
      </c>
      <c r="I2" s="29" t="s">
        <v>684</v>
      </c>
      <c r="J2" s="21" t="s">
        <v>760</v>
      </c>
      <c r="K2" s="21" t="s">
        <v>160</v>
      </c>
      <c r="L2" s="21" t="s">
        <v>129</v>
      </c>
      <c r="M2" s="40" t="s">
        <v>50</v>
      </c>
      <c r="N2" s="40" t="s">
        <v>51</v>
      </c>
      <c r="O2" s="40" t="s">
        <v>627</v>
      </c>
      <c r="P2" s="40" t="s">
        <v>670</v>
      </c>
      <c r="Q2" s="21" t="s">
        <v>88</v>
      </c>
      <c r="R2" s="24" t="s">
        <v>36</v>
      </c>
      <c r="S2" s="25" t="s">
        <v>37</v>
      </c>
      <c r="T2" s="25" t="s">
        <v>46</v>
      </c>
      <c r="U2" s="25" t="s">
        <v>129</v>
      </c>
      <c r="V2" s="25" t="s">
        <v>44</v>
      </c>
      <c r="W2" s="25" t="s">
        <v>93</v>
      </c>
      <c r="X2" s="25" t="s">
        <v>47</v>
      </c>
      <c r="Y2" s="20" t="s">
        <v>39</v>
      </c>
      <c r="Z2" s="21" t="s">
        <v>48</v>
      </c>
      <c r="AA2" s="21" t="s">
        <v>46</v>
      </c>
      <c r="AB2" s="21" t="s">
        <v>620</v>
      </c>
      <c r="AC2" s="21" t="s">
        <v>621</v>
      </c>
      <c r="AD2" s="21" t="s">
        <v>47</v>
      </c>
      <c r="AE2" s="21" t="s">
        <v>48</v>
      </c>
      <c r="AF2" s="26" t="s">
        <v>779</v>
      </c>
      <c r="AG2" s="26" t="s">
        <v>72</v>
      </c>
      <c r="AH2" s="26" t="s">
        <v>788</v>
      </c>
      <c r="AI2" s="26" t="s">
        <v>813</v>
      </c>
      <c r="AJ2" s="26" t="s">
        <v>543</v>
      </c>
      <c r="AK2" s="27" t="s">
        <v>69</v>
      </c>
      <c r="AL2" s="16" t="s">
        <v>71</v>
      </c>
      <c r="AM2" s="16" t="s">
        <v>70</v>
      </c>
      <c r="AN2" s="16" t="s">
        <v>780</v>
      </c>
      <c r="AO2" s="26" t="s">
        <v>45</v>
      </c>
      <c r="AP2" s="21" t="s">
        <v>774</v>
      </c>
      <c r="AQ2" s="21" t="s">
        <v>134</v>
      </c>
      <c r="AR2" s="21" t="s">
        <v>120</v>
      </c>
      <c r="AS2" s="69">
        <v>2026</v>
      </c>
      <c r="AT2" s="69">
        <v>2027</v>
      </c>
      <c r="AU2" s="69">
        <v>2028</v>
      </c>
      <c r="AV2" s="69">
        <v>2029</v>
      </c>
      <c r="AW2" s="16" t="s">
        <v>775</v>
      </c>
      <c r="AX2" s="69">
        <v>2026</v>
      </c>
      <c r="AY2" s="69">
        <v>2027</v>
      </c>
      <c r="AZ2" s="69">
        <v>2028</v>
      </c>
      <c r="BA2" s="69">
        <v>2029</v>
      </c>
      <c r="BB2" s="16" t="s">
        <v>735</v>
      </c>
      <c r="BC2" s="69">
        <v>2026</v>
      </c>
      <c r="BD2" s="69">
        <v>2027</v>
      </c>
      <c r="BE2" s="69">
        <v>2028</v>
      </c>
      <c r="BF2" s="69">
        <v>2029</v>
      </c>
      <c r="BG2" s="69" t="s">
        <v>750</v>
      </c>
      <c r="BH2" s="69">
        <v>2026</v>
      </c>
      <c r="BI2" s="69">
        <v>2027</v>
      </c>
      <c r="BJ2" s="69">
        <v>2028</v>
      </c>
      <c r="BK2" s="69">
        <v>2029</v>
      </c>
      <c r="BL2" s="69" t="s">
        <v>787</v>
      </c>
      <c r="BM2" s="69">
        <v>2026</v>
      </c>
      <c r="BN2" s="69">
        <v>2027</v>
      </c>
      <c r="BO2" s="69">
        <v>2028</v>
      </c>
      <c r="BP2" s="69">
        <v>2029</v>
      </c>
      <c r="BQ2" s="69" t="s">
        <v>749</v>
      </c>
      <c r="BR2" s="69">
        <v>2026</v>
      </c>
      <c r="BS2" s="69">
        <v>2027</v>
      </c>
      <c r="BT2" s="69">
        <v>2028</v>
      </c>
      <c r="BU2" s="69">
        <v>2029</v>
      </c>
      <c r="BV2" s="69" t="s">
        <v>786</v>
      </c>
      <c r="BW2" s="69">
        <v>2026</v>
      </c>
      <c r="BX2" s="69">
        <v>2027</v>
      </c>
      <c r="BY2" s="69">
        <v>2028</v>
      </c>
      <c r="BZ2" s="69">
        <v>2029</v>
      </c>
      <c r="CA2" s="69" t="s">
        <v>647</v>
      </c>
      <c r="CB2" s="69">
        <v>2026</v>
      </c>
      <c r="CC2" s="69">
        <v>2027</v>
      </c>
      <c r="CD2" s="69">
        <v>2028</v>
      </c>
      <c r="CE2" s="69">
        <v>2029</v>
      </c>
      <c r="CF2" s="69" t="s">
        <v>742</v>
      </c>
      <c r="CG2" s="69">
        <v>2026</v>
      </c>
      <c r="CH2" s="69">
        <v>2027</v>
      </c>
      <c r="CI2" s="69">
        <v>2028</v>
      </c>
      <c r="CJ2" s="69">
        <v>2029</v>
      </c>
      <c r="CK2" s="69" t="s">
        <v>648</v>
      </c>
      <c r="CL2" s="69">
        <v>2026</v>
      </c>
      <c r="CM2" s="69">
        <v>2027</v>
      </c>
      <c r="CN2" s="69">
        <v>2028</v>
      </c>
      <c r="CO2" s="69">
        <v>2029</v>
      </c>
      <c r="CP2" s="69" t="s">
        <v>597</v>
      </c>
      <c r="CQ2" s="69">
        <v>2026</v>
      </c>
      <c r="CR2" s="69">
        <v>2027</v>
      </c>
      <c r="CS2" s="69">
        <v>2028</v>
      </c>
      <c r="CT2" s="69">
        <v>2029</v>
      </c>
      <c r="CU2" s="69" t="s">
        <v>626</v>
      </c>
      <c r="CV2" s="69">
        <v>2026</v>
      </c>
      <c r="CW2" s="69">
        <v>2027</v>
      </c>
      <c r="CX2" s="69">
        <v>2028</v>
      </c>
      <c r="CY2" s="69">
        <v>2029</v>
      </c>
      <c r="CZ2" s="69" t="s">
        <v>598</v>
      </c>
      <c r="DA2" s="69">
        <v>2026</v>
      </c>
      <c r="DB2" s="69">
        <v>2027</v>
      </c>
      <c r="DC2" s="69">
        <v>2028</v>
      </c>
      <c r="DD2" s="69">
        <v>2029</v>
      </c>
      <c r="DE2" s="69" t="s">
        <v>599</v>
      </c>
      <c r="DF2" s="69">
        <v>2026</v>
      </c>
      <c r="DG2" s="69">
        <v>2027</v>
      </c>
      <c r="DH2" s="69">
        <v>2028</v>
      </c>
      <c r="DI2" s="69">
        <v>2029</v>
      </c>
      <c r="DJ2" s="69" t="s">
        <v>649</v>
      </c>
      <c r="DK2" s="69">
        <v>2026</v>
      </c>
      <c r="DL2" s="69">
        <v>2027</v>
      </c>
      <c r="DM2" s="69">
        <v>2028</v>
      </c>
      <c r="DN2" s="69">
        <v>2029</v>
      </c>
      <c r="DO2" s="69" t="s">
        <v>650</v>
      </c>
      <c r="DP2" s="69">
        <v>2026</v>
      </c>
      <c r="DQ2" s="69">
        <v>2027</v>
      </c>
      <c r="DR2" s="69">
        <v>2028</v>
      </c>
      <c r="DS2" s="69">
        <v>2029</v>
      </c>
      <c r="DT2" s="69" t="s">
        <v>651</v>
      </c>
      <c r="DU2" s="69">
        <v>2026</v>
      </c>
      <c r="DV2" s="69">
        <v>2027</v>
      </c>
      <c r="DW2" s="69">
        <v>2028</v>
      </c>
      <c r="DX2" s="69">
        <v>2029</v>
      </c>
      <c r="DY2" s="69" t="s">
        <v>652</v>
      </c>
      <c r="DZ2" s="69">
        <v>2026</v>
      </c>
      <c r="EA2" s="69">
        <v>2027</v>
      </c>
      <c r="EB2" s="69">
        <v>2028</v>
      </c>
      <c r="EC2" s="69">
        <v>2029</v>
      </c>
      <c r="ED2" s="69" t="s">
        <v>653</v>
      </c>
      <c r="EE2" s="69">
        <v>2026</v>
      </c>
      <c r="EF2" s="69">
        <v>2027</v>
      </c>
      <c r="EG2" s="69">
        <v>2028</v>
      </c>
      <c r="EH2" s="69">
        <v>2029</v>
      </c>
      <c r="EI2" s="69" t="s">
        <v>600</v>
      </c>
      <c r="EJ2" s="69">
        <v>2026</v>
      </c>
      <c r="EK2" s="69">
        <v>2027</v>
      </c>
      <c r="EL2" s="69">
        <v>2028</v>
      </c>
      <c r="EM2" s="69">
        <v>2029</v>
      </c>
      <c r="EN2" s="69" t="s">
        <v>609</v>
      </c>
      <c r="EO2" s="44" t="s">
        <v>139</v>
      </c>
      <c r="EP2" s="21" t="s">
        <v>778</v>
      </c>
    </row>
    <row r="3" spans="1:147" s="3" customFormat="1" ht="54" customHeight="1" x14ac:dyDescent="0.2">
      <c r="A3" s="80"/>
      <c r="B3" s="87"/>
      <c r="C3" s="57"/>
      <c r="G3" s="65"/>
      <c r="H3" s="72"/>
      <c r="I3" s="72"/>
      <c r="J3" s="12">
        <f ca="1">INDIRECT(J$1)</f>
        <v>0</v>
      </c>
      <c r="K3" s="71">
        <f ca="1">INDIRECT(K$1)</f>
        <v>0</v>
      </c>
      <c r="L3" s="12">
        <f t="shared" ref="L3:AE3" ca="1" si="0">INDIRECT(L$1)</f>
        <v>0</v>
      </c>
      <c r="M3" s="41">
        <f t="shared" ca="1" si="0"/>
        <v>0</v>
      </c>
      <c r="N3" s="41">
        <f t="shared" ca="1" si="0"/>
        <v>0</v>
      </c>
      <c r="O3" s="12" t="str">
        <f t="shared" ca="1" si="0"/>
        <v xml:space="preserve"> </v>
      </c>
      <c r="P3" s="12">
        <f t="shared" ca="1" si="0"/>
        <v>0</v>
      </c>
      <c r="Q3" s="12">
        <f t="shared" ca="1" si="0"/>
        <v>0</v>
      </c>
      <c r="R3" s="12">
        <f t="shared" ca="1" si="0"/>
        <v>0</v>
      </c>
      <c r="S3" s="12">
        <f t="shared" ca="1" si="0"/>
        <v>0</v>
      </c>
      <c r="T3" s="12">
        <f t="shared" ca="1" si="0"/>
        <v>0</v>
      </c>
      <c r="U3" s="12">
        <f t="shared" ca="1" si="0"/>
        <v>0</v>
      </c>
      <c r="V3" s="12">
        <f t="shared" ca="1" si="0"/>
        <v>0</v>
      </c>
      <c r="W3" s="12">
        <f t="shared" ca="1" si="0"/>
        <v>0</v>
      </c>
      <c r="X3" s="12">
        <f t="shared" ca="1" si="0"/>
        <v>0</v>
      </c>
      <c r="Y3" s="12">
        <f t="shared" ca="1" si="0"/>
        <v>0</v>
      </c>
      <c r="Z3" s="12">
        <f t="shared" ca="1" si="0"/>
        <v>0</v>
      </c>
      <c r="AA3" s="12">
        <f t="shared" ca="1" si="0"/>
        <v>0</v>
      </c>
      <c r="AB3" s="12">
        <f t="shared" ca="1" si="0"/>
        <v>0</v>
      </c>
      <c r="AC3" s="12">
        <f t="shared" ca="1" si="0"/>
        <v>0</v>
      </c>
      <c r="AD3" s="12">
        <f t="shared" ca="1" si="0"/>
        <v>0</v>
      </c>
      <c r="AE3" s="12">
        <f t="shared" ca="1" si="0"/>
        <v>0</v>
      </c>
      <c r="AF3" s="83">
        <f t="shared" ref="AF3:AO3" ca="1" si="1">INDIRECT(AF$1)</f>
        <v>0</v>
      </c>
      <c r="AG3" s="12" t="str">
        <f t="shared" ca="1" si="1"/>
        <v>Bitte auswählen</v>
      </c>
      <c r="AH3" s="12" t="str">
        <f t="shared" ca="1" si="1"/>
        <v xml:space="preserve"> </v>
      </c>
      <c r="AI3" s="12">
        <f t="shared" ca="1" si="1"/>
        <v>0</v>
      </c>
      <c r="AJ3" s="83">
        <f t="shared" ca="1" si="1"/>
        <v>0</v>
      </c>
      <c r="AK3" s="84">
        <f t="shared" ca="1" si="1"/>
        <v>0</v>
      </c>
      <c r="AL3" s="84">
        <f t="shared" ca="1" si="1"/>
        <v>0</v>
      </c>
      <c r="AM3" s="84">
        <f t="shared" ca="1" si="1"/>
        <v>0</v>
      </c>
      <c r="AN3" s="84">
        <f t="shared" ca="1" si="1"/>
        <v>0</v>
      </c>
      <c r="AO3" s="12" t="str">
        <f t="shared" ca="1" si="1"/>
        <v>Erwerbstätige, Nichterwerbstätige, Arbeitslose</v>
      </c>
      <c r="AP3" s="12" t="s">
        <v>808</v>
      </c>
      <c r="AQ3" s="12" t="s">
        <v>796</v>
      </c>
      <c r="AR3" s="82">
        <f ca="1">INDIRECT(AR$1)</f>
        <v>0</v>
      </c>
      <c r="AS3" s="82">
        <f ca="1">INDIRECT(AS$1)</f>
        <v>0</v>
      </c>
      <c r="AT3" s="82">
        <v>0</v>
      </c>
      <c r="AU3" s="82">
        <v>0</v>
      </c>
      <c r="AV3" s="82">
        <v>0</v>
      </c>
      <c r="AW3" s="82">
        <f ca="1">INDIRECT(AW$1)</f>
        <v>0</v>
      </c>
      <c r="AX3" s="82">
        <f ca="1">INDIRECT(AX$1)</f>
        <v>0</v>
      </c>
      <c r="AY3" s="82">
        <v>0</v>
      </c>
      <c r="AZ3" s="82">
        <v>0</v>
      </c>
      <c r="BA3" s="82">
        <v>0</v>
      </c>
      <c r="BB3" s="82">
        <f ca="1">INDIRECT(BB$1)</f>
        <v>0</v>
      </c>
      <c r="BC3" s="82">
        <f ca="1">INDIRECT(BC$1)</f>
        <v>0</v>
      </c>
      <c r="BD3" s="82">
        <v>0</v>
      </c>
      <c r="BE3" s="82">
        <v>0</v>
      </c>
      <c r="BF3" s="82">
        <v>0</v>
      </c>
      <c r="BG3" s="82">
        <f ca="1">INDIRECT(BG$1)</f>
        <v>0</v>
      </c>
      <c r="BH3" s="82">
        <f ca="1">INDIRECT(BH$1)</f>
        <v>0</v>
      </c>
      <c r="BI3" s="82">
        <v>0</v>
      </c>
      <c r="BJ3" s="82">
        <v>0</v>
      </c>
      <c r="BK3" s="82">
        <v>0</v>
      </c>
      <c r="BL3" s="82">
        <f ca="1">INDIRECT(BL$1)</f>
        <v>0</v>
      </c>
      <c r="BM3" s="82">
        <f ca="1">INDIRECT(BM$1)</f>
        <v>0</v>
      </c>
      <c r="BN3" s="82">
        <v>0</v>
      </c>
      <c r="BO3" s="82">
        <v>0</v>
      </c>
      <c r="BP3" s="82">
        <v>0</v>
      </c>
      <c r="BQ3" s="82">
        <f ca="1">INDIRECT(BQ$1)</f>
        <v>0</v>
      </c>
      <c r="BR3" s="82">
        <f ca="1">INDIRECT(BR$1)</f>
        <v>0</v>
      </c>
      <c r="BS3" s="82">
        <v>0</v>
      </c>
      <c r="BT3" s="82">
        <v>0</v>
      </c>
      <c r="BU3" s="82">
        <v>0</v>
      </c>
      <c r="BV3" s="82">
        <f ca="1">INDIRECT(BV$1)</f>
        <v>0</v>
      </c>
      <c r="BW3" s="82">
        <f ca="1">INDIRECT(BW$1)</f>
        <v>0</v>
      </c>
      <c r="BX3" s="82">
        <v>0</v>
      </c>
      <c r="BY3" s="82">
        <v>0</v>
      </c>
      <c r="BZ3" s="82">
        <v>0</v>
      </c>
      <c r="CA3" s="82">
        <f ca="1">INDIRECT(CA$1)</f>
        <v>0</v>
      </c>
      <c r="CB3" s="82">
        <f ca="1">INDIRECT(CB$1)</f>
        <v>0</v>
      </c>
      <c r="CC3" s="82">
        <v>0</v>
      </c>
      <c r="CD3" s="82">
        <v>0</v>
      </c>
      <c r="CE3" s="82">
        <v>0</v>
      </c>
      <c r="CF3" s="82">
        <f ca="1">INDIRECT(CF$1)</f>
        <v>0</v>
      </c>
      <c r="CG3" s="82">
        <f ca="1">INDIRECT(CG$1)</f>
        <v>0</v>
      </c>
      <c r="CH3" s="82">
        <v>0</v>
      </c>
      <c r="CI3" s="82">
        <v>0</v>
      </c>
      <c r="CJ3" s="82">
        <v>0</v>
      </c>
      <c r="CK3" s="82">
        <f ca="1">INDIRECT(CK$1)</f>
        <v>0</v>
      </c>
      <c r="CL3" s="82">
        <f ca="1">INDIRECT(CL$1)</f>
        <v>0</v>
      </c>
      <c r="CM3" s="82">
        <v>0</v>
      </c>
      <c r="CN3" s="82">
        <v>0</v>
      </c>
      <c r="CO3" s="82">
        <v>0</v>
      </c>
      <c r="CP3" s="82">
        <f ca="1">INDIRECT(CP$1)</f>
        <v>0</v>
      </c>
      <c r="CQ3" s="82">
        <f ca="1">INDIRECT(CQ$1)</f>
        <v>0</v>
      </c>
      <c r="CR3" s="82">
        <v>0</v>
      </c>
      <c r="CS3" s="82">
        <v>0</v>
      </c>
      <c r="CT3" s="82">
        <v>0</v>
      </c>
      <c r="CU3" s="82">
        <f ca="1">INDIRECT(CU$1)</f>
        <v>0</v>
      </c>
      <c r="CV3" s="82">
        <f ca="1">INDIRECT(CV$1)</f>
        <v>0</v>
      </c>
      <c r="CW3" s="82">
        <v>0</v>
      </c>
      <c r="CX3" s="82">
        <v>0</v>
      </c>
      <c r="CY3" s="82">
        <v>0</v>
      </c>
      <c r="CZ3" s="82">
        <f ca="1">INDIRECT(CZ$1)</f>
        <v>0</v>
      </c>
      <c r="DA3" s="82">
        <f ca="1">INDIRECT(DA$1)</f>
        <v>0</v>
      </c>
      <c r="DB3" s="82">
        <v>0</v>
      </c>
      <c r="DC3" s="82">
        <v>0</v>
      </c>
      <c r="DD3" s="82">
        <v>0</v>
      </c>
      <c r="DE3" s="82">
        <f ca="1">INDIRECT(DE$1)</f>
        <v>0</v>
      </c>
      <c r="DF3" s="82">
        <f ca="1">INDIRECT(DF$1)</f>
        <v>0</v>
      </c>
      <c r="DG3" s="82">
        <v>0</v>
      </c>
      <c r="DH3" s="82">
        <v>0</v>
      </c>
      <c r="DI3" s="82">
        <v>0</v>
      </c>
      <c r="DJ3" s="82">
        <f ca="1">INDIRECT(DJ$1)</f>
        <v>0</v>
      </c>
      <c r="DK3" s="82">
        <f ca="1">INDIRECT(DK$1)</f>
        <v>0</v>
      </c>
      <c r="DL3" s="82">
        <v>0</v>
      </c>
      <c r="DM3" s="82">
        <v>0</v>
      </c>
      <c r="DN3" s="82">
        <v>0</v>
      </c>
      <c r="DO3" s="82">
        <f ca="1">INDIRECT(DO$1)</f>
        <v>0</v>
      </c>
      <c r="DP3" s="82">
        <f ca="1">INDIRECT(DP$1)</f>
        <v>0</v>
      </c>
      <c r="DQ3" s="82">
        <v>0</v>
      </c>
      <c r="DR3" s="82">
        <v>0</v>
      </c>
      <c r="DS3" s="82">
        <v>0</v>
      </c>
      <c r="DT3" s="82">
        <f ca="1">INDIRECT(DT$1)</f>
        <v>0</v>
      </c>
      <c r="DU3" s="82">
        <f ca="1">INDIRECT(DU$1)</f>
        <v>0</v>
      </c>
      <c r="DV3" s="82">
        <v>0</v>
      </c>
      <c r="DW3" s="82">
        <v>0</v>
      </c>
      <c r="DX3" s="82">
        <v>0</v>
      </c>
      <c r="DY3" s="82">
        <f ca="1">INDIRECT(DY$1)</f>
        <v>0</v>
      </c>
      <c r="DZ3" s="82">
        <f ca="1">INDIRECT(DZ$1)</f>
        <v>0</v>
      </c>
      <c r="EA3" s="82">
        <v>0</v>
      </c>
      <c r="EB3" s="82">
        <v>0</v>
      </c>
      <c r="EC3" s="82">
        <v>0</v>
      </c>
      <c r="ED3" s="82">
        <f ca="1">INDIRECT(ED$1)</f>
        <v>0</v>
      </c>
      <c r="EE3" s="82">
        <f ca="1">INDIRECT(EE$1)</f>
        <v>0</v>
      </c>
      <c r="EF3" s="82">
        <v>0</v>
      </c>
      <c r="EG3" s="82">
        <v>0</v>
      </c>
      <c r="EH3" s="82">
        <v>0</v>
      </c>
      <c r="EI3" s="82">
        <f ca="1">INDIRECT(EI$1)</f>
        <v>0</v>
      </c>
      <c r="EJ3" s="82">
        <f ca="1">INDIRECT(EJ$1)</f>
        <v>0</v>
      </c>
      <c r="EK3" s="82">
        <v>0</v>
      </c>
      <c r="EL3" s="82">
        <v>0</v>
      </c>
      <c r="EM3" s="82">
        <v>0</v>
      </c>
      <c r="EN3" s="82">
        <f ca="1">INDIRECT(EN$1)</f>
        <v>0</v>
      </c>
      <c r="EO3" s="82">
        <f ca="1">INDIRECT(EO$1)</f>
        <v>0</v>
      </c>
      <c r="EP3" s="91" t="str">
        <f ca="1">INDIRECT(EP$1)</f>
        <v/>
      </c>
      <c r="EQ3" s="82"/>
    </row>
    <row r="4" spans="1:147" s="3" customFormat="1" x14ac:dyDescent="0.2">
      <c r="A4" s="81"/>
      <c r="J4" s="12"/>
      <c r="K4" s="12"/>
      <c r="L4" s="12"/>
      <c r="M4" s="42"/>
      <c r="N4" s="42"/>
      <c r="O4" s="42"/>
      <c r="P4" s="42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</row>
    <row r="6" spans="1:147" x14ac:dyDescent="0.2">
      <c r="K6" s="70"/>
    </row>
    <row r="7" spans="1:147" x14ac:dyDescent="0.2">
      <c r="K7" s="70"/>
    </row>
    <row r="8" spans="1:147" x14ac:dyDescent="0.2">
      <c r="K8" s="70"/>
    </row>
    <row r="9" spans="1:147" x14ac:dyDescent="0.2">
      <c r="K9" s="70"/>
    </row>
    <row r="10" spans="1:147" x14ac:dyDescent="0.2">
      <c r="K10" s="70"/>
    </row>
    <row r="11" spans="1:147" x14ac:dyDescent="0.2">
      <c r="K11" s="70"/>
    </row>
    <row r="12" spans="1:147" x14ac:dyDescent="0.2">
      <c r="K12" s="70"/>
    </row>
    <row r="13" spans="1:147" x14ac:dyDescent="0.2">
      <c r="K13" s="70"/>
    </row>
    <row r="14" spans="1:147" x14ac:dyDescent="0.2">
      <c r="K14" s="70"/>
    </row>
    <row r="15" spans="1:147" x14ac:dyDescent="0.2">
      <c r="K15" s="70"/>
    </row>
    <row r="16" spans="1:147" x14ac:dyDescent="0.2">
      <c r="K16" s="70"/>
    </row>
    <row r="17" spans="11:11" x14ac:dyDescent="0.2">
      <c r="K17" s="70"/>
    </row>
    <row r="18" spans="11:11" x14ac:dyDescent="0.2">
      <c r="K18" s="70"/>
    </row>
    <row r="19" spans="11:11" x14ac:dyDescent="0.2">
      <c r="K19" s="70"/>
    </row>
    <row r="20" spans="11:11" x14ac:dyDescent="0.2">
      <c r="K20" s="70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2875-AFAE-40CE-8956-C4FD3317E750}">
  <dimension ref="A1:AF93"/>
  <sheetViews>
    <sheetView showGridLines="0" view="pageBreakPreview" topLeftCell="A25" zoomScale="115" zoomScaleNormal="145" zoomScaleSheetLayoutView="115" workbookViewId="0">
      <selection activeCell="H32" sqref="H32:AF32"/>
    </sheetView>
  </sheetViews>
  <sheetFormatPr baseColWidth="10" defaultRowHeight="12.75" x14ac:dyDescent="0.2"/>
  <cols>
    <col min="1" max="28" width="2.7109375" customWidth="1"/>
    <col min="29" max="29" width="13.42578125" customWidth="1"/>
    <col min="30" max="32" width="2.7109375" customWidth="1"/>
  </cols>
  <sheetData>
    <row r="1" spans="1:32" ht="14.25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14.25" x14ac:dyDescent="0.2">
      <c r="A2" s="103"/>
      <c r="B2" s="103"/>
      <c r="C2" s="103"/>
      <c r="D2" s="103"/>
      <c r="E2" s="103"/>
      <c r="F2" s="103"/>
      <c r="G2" s="103"/>
      <c r="H2" s="103"/>
      <c r="I2" s="575" t="s">
        <v>866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ht="14.25" x14ac:dyDescent="0.2">
      <c r="A3" s="103"/>
      <c r="B3" s="103"/>
      <c r="C3" s="103"/>
      <c r="D3" s="103"/>
      <c r="E3" s="103"/>
      <c r="F3" s="103"/>
      <c r="G3" s="103"/>
      <c r="H3" s="103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15" thickBo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ht="15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577" t="s">
        <v>119</v>
      </c>
      <c r="AE5" s="578"/>
      <c r="AF5" s="579"/>
    </row>
    <row r="6" spans="1:32" ht="15.75" thickBot="1" x14ac:dyDescent="0.25">
      <c r="A6" s="103" t="s">
        <v>867</v>
      </c>
      <c r="B6" s="103"/>
      <c r="C6" s="103"/>
      <c r="D6" s="103"/>
      <c r="E6" s="580" t="str">
        <f>IF(Anmeldeingang=0," ", Anmeldeingang)</f>
        <v xml:space="preserve"> </v>
      </c>
      <c r="F6" s="580"/>
      <c r="G6" s="580"/>
      <c r="H6" s="580"/>
      <c r="I6" s="580"/>
      <c r="J6" s="580"/>
      <c r="K6" s="580"/>
      <c r="L6" s="580"/>
      <c r="M6" s="103"/>
      <c r="N6" s="103" t="s">
        <v>868</v>
      </c>
      <c r="O6" s="103"/>
      <c r="P6" s="103"/>
      <c r="Q6" s="103"/>
      <c r="R6" s="103"/>
      <c r="S6" s="103"/>
      <c r="T6" s="103"/>
      <c r="U6" s="103"/>
      <c r="V6" s="580" t="str">
        <f>IF(neufass=0," ", neufass)</f>
        <v xml:space="preserve"> </v>
      </c>
      <c r="W6" s="580"/>
      <c r="X6" s="580"/>
      <c r="Y6" s="580"/>
      <c r="Z6" s="580"/>
      <c r="AA6" s="580"/>
      <c r="AB6" s="580"/>
      <c r="AC6" s="103"/>
      <c r="AD6" s="581">
        <f>AnmeldeNummer</f>
        <v>0</v>
      </c>
      <c r="AE6" s="582"/>
      <c r="AF6" s="583"/>
    </row>
    <row r="7" spans="1:32" ht="15" x14ac:dyDescent="0.2">
      <c r="A7" s="104" t="s">
        <v>869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3"/>
      <c r="AE7" s="103"/>
      <c r="AF7" s="106"/>
    </row>
    <row r="8" spans="1:32" ht="14.25" x14ac:dyDescent="0.2">
      <c r="A8" s="107" t="s">
        <v>870</v>
      </c>
      <c r="B8" s="103"/>
      <c r="C8" s="103"/>
      <c r="D8" s="103"/>
      <c r="E8" s="103"/>
      <c r="F8" s="103"/>
      <c r="G8" s="584">
        <f>Tname</f>
        <v>0</v>
      </c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5"/>
      <c r="AC8" s="586"/>
      <c r="AD8" s="586"/>
      <c r="AE8" s="586"/>
      <c r="AF8" s="106"/>
    </row>
    <row r="9" spans="1:32" ht="14.25" x14ac:dyDescent="0.2">
      <c r="A9" s="107" t="s">
        <v>871</v>
      </c>
      <c r="B9" s="103"/>
      <c r="C9" s="103"/>
      <c r="D9" s="103"/>
      <c r="E9" s="103"/>
      <c r="F9" s="103"/>
      <c r="G9" s="108"/>
      <c r="H9" s="584" t="str">
        <f>Anspranrede&amp;" "&amp;ansprvorname&amp;" "&amp;Ansprname</f>
        <v xml:space="preserve">  </v>
      </c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5"/>
      <c r="AC9" s="586"/>
      <c r="AD9" s="586"/>
      <c r="AE9" s="586"/>
      <c r="AF9" s="106"/>
    </row>
    <row r="10" spans="1:32" ht="14.25" x14ac:dyDescent="0.2">
      <c r="A10" s="109" t="s">
        <v>872</v>
      </c>
      <c r="B10" s="110"/>
      <c r="C10" s="110"/>
      <c r="D10" s="600">
        <f>ansprtel</f>
        <v>0</v>
      </c>
      <c r="E10" s="600"/>
      <c r="F10" s="600"/>
      <c r="G10" s="600"/>
      <c r="H10" s="600"/>
      <c r="I10" s="600"/>
      <c r="J10" s="600"/>
      <c r="K10" s="600"/>
      <c r="L10" s="600"/>
      <c r="M10" s="110"/>
      <c r="N10" s="110" t="s">
        <v>106</v>
      </c>
      <c r="O10" s="110"/>
      <c r="P10" s="110"/>
      <c r="Q10" s="600">
        <f>ansprmail</f>
        <v>0</v>
      </c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1"/>
      <c r="AD10" s="601"/>
      <c r="AE10" s="601"/>
      <c r="AF10" s="111"/>
    </row>
    <row r="11" spans="1:32" ht="11.25" customHeight="1" x14ac:dyDescent="0.2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</row>
    <row r="12" spans="1:32" ht="15" x14ac:dyDescent="0.2">
      <c r="A12" s="104" t="s">
        <v>873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13"/>
    </row>
    <row r="13" spans="1:32" ht="14.25" x14ac:dyDescent="0.2">
      <c r="A13" s="589" t="s">
        <v>874</v>
      </c>
      <c r="B13" s="486"/>
      <c r="C13" s="486"/>
      <c r="D13" s="486"/>
      <c r="E13" s="486"/>
      <c r="F13" s="486"/>
      <c r="G13" s="486"/>
      <c r="H13" s="100">
        <f>Ptitel</f>
        <v>0</v>
      </c>
      <c r="I13" s="100"/>
      <c r="J13" s="100"/>
      <c r="K13" s="100"/>
      <c r="L13" s="100"/>
      <c r="M13" s="100"/>
      <c r="N13" s="100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6"/>
    </row>
    <row r="14" spans="1:32" ht="14.25" x14ac:dyDescent="0.2">
      <c r="A14" s="589" t="s">
        <v>107</v>
      </c>
      <c r="B14" s="486"/>
      <c r="C14" s="486"/>
      <c r="D14" s="486"/>
      <c r="E14" s="486"/>
      <c r="F14" s="486"/>
      <c r="G14" s="486"/>
      <c r="H14" s="580">
        <f>Beginn</f>
        <v>0</v>
      </c>
      <c r="I14" s="584"/>
      <c r="J14" s="584"/>
      <c r="K14" s="584"/>
      <c r="L14" s="584"/>
      <c r="M14" s="103" t="s">
        <v>875</v>
      </c>
      <c r="N14" s="602">
        <f>Ende</f>
        <v>0</v>
      </c>
      <c r="O14" s="603"/>
      <c r="P14" s="603"/>
      <c r="Q14" s="603"/>
      <c r="R14" s="6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14" t="str">
        <f>IF(edwdAuswahl&gt;0,(IF(edwdAuswahl=1,"ed","wd"))," ")</f>
        <v xml:space="preserve"> </v>
      </c>
      <c r="AD14" s="103"/>
      <c r="AE14" s="103"/>
      <c r="AF14" s="106"/>
    </row>
    <row r="15" spans="1:32" ht="15" x14ac:dyDescent="0.2">
      <c r="A15" s="107" t="s">
        <v>876</v>
      </c>
      <c r="B15" s="103"/>
      <c r="C15" s="103"/>
      <c r="D15" s="103"/>
      <c r="E15" s="103"/>
      <c r="F15" s="103"/>
      <c r="G15" s="103"/>
      <c r="H15" s="103" t="str">
        <f ca="1">GEK</f>
        <v>Bitte auswählen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15" t="str">
        <f ca="1">IF(SER=" ","ÜR","SER")</f>
        <v>ÜR</v>
      </c>
      <c r="AD15" s="103"/>
      <c r="AE15" s="103"/>
      <c r="AF15" s="106"/>
    </row>
    <row r="16" spans="1:32" ht="14.25" x14ac:dyDescent="0.2">
      <c r="A16" s="107" t="s">
        <v>877</v>
      </c>
      <c r="B16" s="103"/>
      <c r="C16" s="103"/>
      <c r="D16" s="103"/>
      <c r="E16" s="103"/>
      <c r="F16" s="103"/>
      <c r="G16" s="103"/>
      <c r="H16" s="587" t="str">
        <f>spezZiel</f>
        <v>ESO 4.7 Förderung des lebenslangen Lernens</v>
      </c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8"/>
    </row>
    <row r="17" spans="1:32" ht="14.25" x14ac:dyDescent="0.2">
      <c r="A17" s="589" t="s">
        <v>878</v>
      </c>
      <c r="B17" s="486"/>
      <c r="C17" s="486"/>
      <c r="D17" s="486"/>
      <c r="E17" s="486"/>
      <c r="F17" s="486"/>
      <c r="G17" s="486"/>
      <c r="H17" s="103" t="str">
        <f ca="1">Fansatz</f>
        <v>Erhöhung der Schriftsprachkompetenz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6"/>
    </row>
    <row r="18" spans="1:32" ht="14.25" x14ac:dyDescent="0.2">
      <c r="A18" s="590" t="s">
        <v>879</v>
      </c>
      <c r="B18" s="528"/>
      <c r="C18" s="528"/>
      <c r="D18" s="528"/>
      <c r="E18" s="528"/>
      <c r="F18" s="528"/>
      <c r="G18" s="528"/>
      <c r="H18" s="591" t="str">
        <f ca="1">ZG</f>
        <v>Erwerbstätige, Nichterwerbstätige, Arbeitslose</v>
      </c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3"/>
    </row>
    <row r="19" spans="1:32" ht="11.25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</row>
    <row r="20" spans="1:32" ht="15" x14ac:dyDescent="0.2">
      <c r="A20" s="104" t="s">
        <v>880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13"/>
    </row>
    <row r="21" spans="1:32" ht="14.25" x14ac:dyDescent="0.2">
      <c r="A21" s="594" t="s">
        <v>605</v>
      </c>
      <c r="B21" s="594"/>
      <c r="C21" s="594"/>
      <c r="D21" s="594"/>
      <c r="E21" s="594"/>
      <c r="F21" s="594"/>
      <c r="G21" s="594"/>
      <c r="H21" s="595"/>
      <c r="I21" s="596">
        <f>kostges</f>
        <v>0</v>
      </c>
      <c r="J21" s="597"/>
      <c r="K21" s="597"/>
      <c r="L21" s="597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9"/>
    </row>
    <row r="22" spans="1:32" ht="15" x14ac:dyDescent="0.2">
      <c r="A22" s="594" t="s">
        <v>881</v>
      </c>
      <c r="B22" s="594"/>
      <c r="C22" s="594"/>
      <c r="D22" s="594"/>
      <c r="E22" s="594"/>
      <c r="F22" s="594"/>
      <c r="G22" s="594"/>
      <c r="H22" s="595"/>
      <c r="I22" s="608" t="s">
        <v>768</v>
      </c>
      <c r="J22" s="575"/>
      <c r="K22" s="575"/>
      <c r="L22" s="575"/>
      <c r="M22" s="575" t="s">
        <v>782</v>
      </c>
      <c r="N22" s="575"/>
      <c r="O22" s="575"/>
      <c r="P22" s="575"/>
      <c r="Q22" s="575" t="s">
        <v>882</v>
      </c>
      <c r="R22" s="575"/>
      <c r="S22" s="575"/>
      <c r="T22" s="575"/>
      <c r="U22" s="575" t="s">
        <v>733</v>
      </c>
      <c r="V22" s="575"/>
      <c r="W22" s="575"/>
      <c r="X22" s="575"/>
      <c r="Y22" s="575" t="s">
        <v>734</v>
      </c>
      <c r="Z22" s="575"/>
      <c r="AA22" s="575"/>
      <c r="AB22" s="575"/>
      <c r="AC22" s="575" t="s">
        <v>883</v>
      </c>
      <c r="AD22" s="575"/>
      <c r="AE22" s="575"/>
      <c r="AF22" s="604"/>
    </row>
    <row r="23" spans="1:32" ht="14.25" x14ac:dyDescent="0.2">
      <c r="A23" s="594" t="s">
        <v>884</v>
      </c>
      <c r="B23" s="594"/>
      <c r="C23" s="594"/>
      <c r="D23" s="594"/>
      <c r="E23" s="594"/>
      <c r="F23" s="594"/>
      <c r="G23" s="594"/>
      <c r="H23" s="595"/>
      <c r="I23" s="605">
        <f>esfges</f>
        <v>0</v>
      </c>
      <c r="J23" s="606"/>
      <c r="K23" s="606"/>
      <c r="L23" s="606"/>
      <c r="M23" s="606">
        <f>mastdges</f>
        <v>0</v>
      </c>
      <c r="N23" s="606"/>
      <c r="O23" s="606"/>
      <c r="P23" s="606"/>
      <c r="Q23" s="606">
        <f>mbges</f>
        <v>0</v>
      </c>
      <c r="R23" s="606"/>
      <c r="S23" s="606"/>
      <c r="T23" s="606"/>
      <c r="U23" s="606">
        <f>mffkiges</f>
        <v>0</v>
      </c>
      <c r="V23" s="606"/>
      <c r="W23" s="606"/>
      <c r="X23" s="606"/>
      <c r="Y23" s="606">
        <f>mwgges</f>
        <v>0</v>
      </c>
      <c r="Z23" s="606"/>
      <c r="AA23" s="606"/>
      <c r="AB23" s="606"/>
      <c r="AC23" s="606">
        <f>SUM(kostges-esfges-mastdges-mbges-mffkiges-mwgges)</f>
        <v>0</v>
      </c>
      <c r="AD23" s="606"/>
      <c r="AE23" s="606"/>
      <c r="AF23" s="607"/>
    </row>
    <row r="24" spans="1:32" ht="14.25" x14ac:dyDescent="0.2">
      <c r="A24" s="594" t="s">
        <v>885</v>
      </c>
      <c r="B24" s="594"/>
      <c r="C24" s="594"/>
      <c r="D24" s="594"/>
      <c r="E24" s="594"/>
      <c r="F24" s="594"/>
      <c r="G24" s="594"/>
      <c r="H24" s="595"/>
      <c r="I24" s="612" t="e">
        <f>I23/$I21</f>
        <v>#DIV/0!</v>
      </c>
      <c r="J24" s="609"/>
      <c r="K24" s="609"/>
      <c r="L24" s="609"/>
      <c r="M24" s="609" t="e">
        <f t="shared" ref="M24" si="0">M23/$I21</f>
        <v>#DIV/0!</v>
      </c>
      <c r="N24" s="609"/>
      <c r="O24" s="609"/>
      <c r="P24" s="609"/>
      <c r="Q24" s="609" t="e">
        <f t="shared" ref="Q24" si="1">Q23/$I21</f>
        <v>#DIV/0!</v>
      </c>
      <c r="R24" s="609"/>
      <c r="S24" s="609"/>
      <c r="T24" s="609"/>
      <c r="U24" s="609" t="e">
        <f t="shared" ref="U24" si="2">U23/$I21</f>
        <v>#DIV/0!</v>
      </c>
      <c r="V24" s="609"/>
      <c r="W24" s="609"/>
      <c r="X24" s="609"/>
      <c r="Y24" s="609" t="e">
        <f t="shared" ref="Y24" si="3">Y23/$I21</f>
        <v>#DIV/0!</v>
      </c>
      <c r="Z24" s="609"/>
      <c r="AA24" s="609"/>
      <c r="AB24" s="609"/>
      <c r="AC24" s="609" t="e">
        <f t="shared" ref="AC24" si="4">AC23/$I21</f>
        <v>#DIV/0!</v>
      </c>
      <c r="AD24" s="609"/>
      <c r="AE24" s="609"/>
      <c r="AF24" s="610"/>
    </row>
    <row r="25" spans="1:32" ht="14.25" x14ac:dyDescent="0.2">
      <c r="A25" s="107"/>
      <c r="B25" s="103"/>
      <c r="C25" s="103"/>
      <c r="D25" s="103"/>
      <c r="E25" s="103"/>
      <c r="F25" s="103"/>
      <c r="G25" s="103"/>
      <c r="H25" s="103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611"/>
    </row>
    <row r="26" spans="1:32" ht="14.25" x14ac:dyDescent="0.2">
      <c r="A26" s="594" t="s">
        <v>543</v>
      </c>
      <c r="B26" s="594"/>
      <c r="C26" s="594"/>
      <c r="D26" s="594"/>
      <c r="E26" s="594"/>
      <c r="F26" s="594"/>
      <c r="G26" s="594"/>
      <c r="H26" s="594"/>
      <c r="I26" s="594">
        <f>TNpl</f>
        <v>0</v>
      </c>
      <c r="J26" s="594"/>
      <c r="K26" s="594"/>
      <c r="L26" s="594"/>
      <c r="M26" s="103"/>
      <c r="N26" s="103"/>
      <c r="O26" s="103"/>
      <c r="P26" s="595" t="s">
        <v>886</v>
      </c>
      <c r="Q26" s="620"/>
      <c r="R26" s="620"/>
      <c r="S26" s="620"/>
      <c r="T26" s="621"/>
      <c r="U26" s="622">
        <f>TNanz</f>
        <v>0</v>
      </c>
      <c r="V26" s="623"/>
      <c r="W26" s="623"/>
      <c r="X26" s="623"/>
      <c r="Y26" s="103"/>
      <c r="Z26" s="103"/>
      <c r="AA26" s="103"/>
      <c r="AB26" s="103"/>
      <c r="AC26" s="103"/>
      <c r="AD26" s="103"/>
      <c r="AE26" s="103"/>
      <c r="AF26" s="106"/>
    </row>
    <row r="27" spans="1:32" ht="14.25" x14ac:dyDescent="0.2">
      <c r="A27" s="594" t="s">
        <v>887</v>
      </c>
      <c r="B27" s="594"/>
      <c r="C27" s="594"/>
      <c r="D27" s="594"/>
      <c r="E27" s="594"/>
      <c r="F27" s="594"/>
      <c r="G27" s="594"/>
      <c r="H27" s="594"/>
      <c r="I27" s="624" t="e">
        <f>I21/I26</f>
        <v>#DIV/0!</v>
      </c>
      <c r="J27" s="624"/>
      <c r="K27" s="624"/>
      <c r="L27" s="624"/>
      <c r="M27" s="110"/>
      <c r="N27" s="110"/>
      <c r="O27" s="110"/>
      <c r="P27" s="117" t="s">
        <v>888</v>
      </c>
      <c r="Q27" s="118"/>
      <c r="R27" s="118"/>
      <c r="S27" s="118"/>
      <c r="T27" s="119"/>
      <c r="U27" s="624" t="e">
        <f>I21/U26</f>
        <v>#DIV/0!</v>
      </c>
      <c r="V27" s="625"/>
      <c r="W27" s="625"/>
      <c r="X27" s="625"/>
      <c r="Y27" s="110"/>
      <c r="Z27" s="110"/>
      <c r="AA27" s="110"/>
      <c r="AB27" s="110"/>
      <c r="AC27" s="110"/>
      <c r="AD27" s="110"/>
      <c r="AE27" s="110"/>
      <c r="AF27" s="111"/>
    </row>
    <row r="28" spans="1:32" ht="14.25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</row>
    <row r="29" spans="1:32" ht="15" x14ac:dyDescent="0.2">
      <c r="A29" s="613" t="s">
        <v>889</v>
      </c>
      <c r="B29" s="353"/>
      <c r="C29" s="353"/>
      <c r="D29" s="353"/>
      <c r="E29" s="353"/>
      <c r="F29" s="353"/>
      <c r="G29" s="353"/>
      <c r="H29" s="105" t="s">
        <v>890</v>
      </c>
      <c r="I29" s="105"/>
      <c r="J29" s="105"/>
      <c r="K29" s="105"/>
      <c r="L29" s="105"/>
      <c r="M29" s="598" t="str">
        <f ca="1">IF(ISERROR(VLOOKUP(HSOB,Beraternamen,2,0)),"",VLOOKUP(HSOB,Beraternamen,2,0))</f>
        <v/>
      </c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105"/>
      <c r="Y29" s="105"/>
      <c r="Z29" s="105"/>
      <c r="AA29" s="105"/>
      <c r="AB29" s="105"/>
      <c r="AC29" s="105"/>
      <c r="AD29" s="105"/>
      <c r="AE29" s="105"/>
      <c r="AF29" s="113"/>
    </row>
    <row r="30" spans="1:32" ht="14.25" x14ac:dyDescent="0.2">
      <c r="A30" s="107" t="s">
        <v>891</v>
      </c>
      <c r="B30" s="103"/>
      <c r="C30" s="103"/>
      <c r="D30" s="103"/>
      <c r="E30" s="103"/>
      <c r="F30" s="103"/>
      <c r="G30" s="614" cm="1">
        <f t="array" ref="G30">Einord</f>
        <v>0</v>
      </c>
      <c r="H30" s="614"/>
      <c r="I30" s="614"/>
      <c r="J30" s="614"/>
      <c r="K30" s="103"/>
      <c r="L30" s="615" t="str">
        <f>IF(Einord="fehlerhaft", "Korrektur", " ")</f>
        <v xml:space="preserve"> </v>
      </c>
      <c r="M30" s="486"/>
      <c r="N30" s="486"/>
      <c r="O30" s="486"/>
      <c r="P30" s="486"/>
      <c r="Q30" s="616"/>
      <c r="R30" s="617"/>
      <c r="S30" s="617"/>
      <c r="T30" s="617"/>
      <c r="U30" s="103"/>
      <c r="V30" s="103"/>
      <c r="W30" s="618" t="str">
        <f>IF(NeuFA=0,"",NeuFA)</f>
        <v/>
      </c>
      <c r="X30" s="619"/>
      <c r="Y30" s="619"/>
      <c r="Z30" s="486"/>
      <c r="AA30" s="486"/>
      <c r="AB30" s="486"/>
      <c r="AC30" s="486"/>
      <c r="AD30" s="486"/>
      <c r="AE30" s="486"/>
      <c r="AF30" s="488"/>
    </row>
    <row r="31" spans="1:32" ht="15" x14ac:dyDescent="0.2">
      <c r="A31" s="107" t="s">
        <v>357</v>
      </c>
      <c r="B31" s="103"/>
      <c r="C31" s="103"/>
      <c r="D31" s="103"/>
      <c r="E31" s="103"/>
      <c r="F31" s="103"/>
      <c r="G31" s="103"/>
      <c r="H31" s="103"/>
      <c r="I31" s="103"/>
      <c r="J31" s="638">
        <f>Punkte</f>
        <v>0</v>
      </c>
      <c r="K31" s="638"/>
      <c r="L31" s="638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6"/>
    </row>
    <row r="32" spans="1:32" ht="14.25" x14ac:dyDescent="0.2">
      <c r="A32" s="589" t="s">
        <v>892</v>
      </c>
      <c r="B32" s="486"/>
      <c r="C32" s="486"/>
      <c r="D32" s="486"/>
      <c r="E32" s="486"/>
      <c r="F32" s="486"/>
      <c r="G32" s="486"/>
      <c r="H32" s="587">
        <f>Kofi</f>
        <v>0</v>
      </c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  <c r="AC32" s="587"/>
      <c r="AD32" s="587"/>
      <c r="AE32" s="587"/>
      <c r="AF32" s="588"/>
    </row>
    <row r="33" spans="1:32" ht="14.25" x14ac:dyDescent="0.2">
      <c r="A33" s="107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6"/>
    </row>
    <row r="34" spans="1:32" ht="15" x14ac:dyDescent="0.2">
      <c r="A34" s="120" t="s">
        <v>893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586">
        <f>Prüfergebnis</f>
        <v>0</v>
      </c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611"/>
    </row>
    <row r="35" spans="1:32" x14ac:dyDescent="0.2">
      <c r="A35" s="639" t="s">
        <v>894</v>
      </c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640"/>
      <c r="AA35" s="640"/>
      <c r="AB35" s="640"/>
      <c r="AC35" s="640"/>
      <c r="AD35" s="640"/>
      <c r="AE35" s="640"/>
      <c r="AF35" s="641"/>
    </row>
    <row r="36" spans="1:32" x14ac:dyDescent="0.2">
      <c r="A36" s="639"/>
      <c r="B36" s="640"/>
      <c r="C36" s="640"/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0"/>
      <c r="P36" s="640"/>
      <c r="Q36" s="640"/>
      <c r="R36" s="640"/>
      <c r="S36" s="640"/>
      <c r="T36" s="640"/>
      <c r="U36" s="640"/>
      <c r="V36" s="640"/>
      <c r="W36" s="640"/>
      <c r="X36" s="640"/>
      <c r="Y36" s="640"/>
      <c r="Z36" s="640"/>
      <c r="AA36" s="640"/>
      <c r="AB36" s="640"/>
      <c r="AC36" s="640"/>
      <c r="AD36" s="640"/>
      <c r="AE36" s="640"/>
      <c r="AF36" s="641"/>
    </row>
    <row r="37" spans="1:32" x14ac:dyDescent="0.2">
      <c r="A37" s="639"/>
      <c r="B37" s="640"/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0"/>
      <c r="N37" s="640"/>
      <c r="O37" s="640"/>
      <c r="P37" s="640"/>
      <c r="Q37" s="640"/>
      <c r="R37" s="640"/>
      <c r="S37" s="640"/>
      <c r="T37" s="640"/>
      <c r="U37" s="640"/>
      <c r="V37" s="640"/>
      <c r="W37" s="640"/>
      <c r="X37" s="640"/>
      <c r="Y37" s="640"/>
      <c r="Z37" s="640"/>
      <c r="AA37" s="640"/>
      <c r="AB37" s="640"/>
      <c r="AC37" s="640"/>
      <c r="AD37" s="640"/>
      <c r="AE37" s="640"/>
      <c r="AF37" s="641"/>
    </row>
    <row r="38" spans="1:32" x14ac:dyDescent="0.2">
      <c r="A38" s="639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641"/>
    </row>
    <row r="39" spans="1:32" x14ac:dyDescent="0.2">
      <c r="A39" s="642"/>
      <c r="B39" s="643"/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643"/>
      <c r="Z39" s="643"/>
      <c r="AA39" s="643"/>
      <c r="AB39" s="643"/>
      <c r="AC39" s="643"/>
      <c r="AD39" s="643"/>
      <c r="AE39" s="643"/>
      <c r="AF39" s="644"/>
    </row>
    <row r="40" spans="1:32" ht="15" thickBot="1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</row>
    <row r="41" spans="1:32" ht="15.75" thickBot="1" x14ac:dyDescent="0.25">
      <c r="A41" s="104" t="s">
        <v>895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21"/>
      <c r="R41" s="645"/>
      <c r="S41" s="645"/>
      <c r="T41" s="645"/>
      <c r="U41" s="645"/>
      <c r="V41" s="645"/>
      <c r="W41" s="645"/>
      <c r="X41" s="105"/>
      <c r="Y41" s="105"/>
      <c r="Z41" s="646"/>
      <c r="AA41" s="647"/>
      <c r="AB41" s="647"/>
      <c r="AC41" s="647"/>
      <c r="AD41" s="647"/>
      <c r="AE41" s="647"/>
      <c r="AF41" s="648"/>
    </row>
    <row r="42" spans="1:32" x14ac:dyDescent="0.2">
      <c r="A42" s="626" t="s">
        <v>894</v>
      </c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27"/>
      <c r="AB42" s="627"/>
      <c r="AC42" s="627"/>
      <c r="AD42" s="627"/>
      <c r="AE42" s="627"/>
      <c r="AF42" s="628"/>
    </row>
    <row r="43" spans="1:32" x14ac:dyDescent="0.2">
      <c r="A43" s="626"/>
      <c r="B43" s="627"/>
      <c r="C43" s="627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  <c r="X43" s="627"/>
      <c r="Y43" s="627"/>
      <c r="Z43" s="627"/>
      <c r="AA43" s="627"/>
      <c r="AB43" s="627"/>
      <c r="AC43" s="627"/>
      <c r="AD43" s="627"/>
      <c r="AE43" s="627"/>
      <c r="AF43" s="628"/>
    </row>
    <row r="44" spans="1:32" x14ac:dyDescent="0.2">
      <c r="A44" s="626"/>
      <c r="B44" s="627"/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8"/>
    </row>
    <row r="45" spans="1:32" x14ac:dyDescent="0.2">
      <c r="A45" s="626" t="s">
        <v>896</v>
      </c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9"/>
    </row>
    <row r="46" spans="1:32" x14ac:dyDescent="0.2">
      <c r="A46" s="626"/>
      <c r="B46" s="627"/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7"/>
      <c r="AB46" s="627"/>
      <c r="AC46" s="627"/>
      <c r="AD46" s="627"/>
      <c r="AE46" s="627"/>
      <c r="AF46" s="629"/>
    </row>
    <row r="47" spans="1:32" ht="9" customHeight="1" x14ac:dyDescent="0.2">
      <c r="A47" s="626"/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27"/>
      <c r="AB47" s="627"/>
      <c r="AC47" s="627"/>
      <c r="AD47" s="627"/>
      <c r="AE47" s="627"/>
      <c r="AF47" s="629"/>
    </row>
    <row r="48" spans="1:32" hidden="1" x14ac:dyDescent="0.2">
      <c r="A48" s="62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7"/>
      <c r="V48" s="627"/>
      <c r="W48" s="627"/>
      <c r="X48" s="627"/>
      <c r="Y48" s="627"/>
      <c r="Z48" s="627"/>
      <c r="AA48" s="627"/>
      <c r="AB48" s="627"/>
      <c r="AC48" s="627"/>
      <c r="AD48" s="627"/>
      <c r="AE48" s="627"/>
      <c r="AF48" s="629"/>
    </row>
    <row r="49" spans="1:32" x14ac:dyDescent="0.2">
      <c r="A49" s="626" t="s">
        <v>897</v>
      </c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627"/>
      <c r="AB49" s="627"/>
      <c r="AC49" s="627"/>
      <c r="AD49" s="627"/>
      <c r="AE49" s="627"/>
      <c r="AF49" s="628"/>
    </row>
    <row r="50" spans="1:32" x14ac:dyDescent="0.2">
      <c r="A50" s="626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7"/>
      <c r="AF50" s="628"/>
    </row>
    <row r="51" spans="1:32" x14ac:dyDescent="0.2">
      <c r="A51" s="626"/>
      <c r="B51" s="627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627"/>
      <c r="Z51" s="627"/>
      <c r="AA51" s="627"/>
      <c r="AB51" s="627"/>
      <c r="AC51" s="627"/>
      <c r="AD51" s="627"/>
      <c r="AE51" s="627"/>
      <c r="AF51" s="628"/>
    </row>
    <row r="52" spans="1:32" ht="7.5" customHeight="1" x14ac:dyDescent="0.2">
      <c r="A52" s="630"/>
      <c r="B52" s="631"/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2"/>
    </row>
    <row r="53" spans="1:32" ht="14.25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</row>
    <row r="54" spans="1:32" ht="15.75" thickBot="1" x14ac:dyDescent="0.25">
      <c r="A54" s="104" t="s">
        <v>898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633"/>
      <c r="O54" s="633"/>
      <c r="P54" s="633"/>
      <c r="Q54" s="633"/>
      <c r="R54" s="633"/>
      <c r="S54" s="633"/>
      <c r="T54" s="633"/>
      <c r="U54" s="633"/>
      <c r="V54" s="633"/>
      <c r="W54" s="105"/>
      <c r="X54" s="105"/>
      <c r="Y54" s="105"/>
      <c r="Z54" s="634"/>
      <c r="AA54" s="635"/>
      <c r="AB54" s="635"/>
      <c r="AC54" s="635"/>
      <c r="AD54" s="635"/>
      <c r="AE54" s="635"/>
      <c r="AF54" s="636"/>
    </row>
    <row r="55" spans="1:32" ht="15" thickTop="1" x14ac:dyDescent="0.2">
      <c r="A55" s="107" t="s">
        <v>894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D55" s="103"/>
      <c r="AE55" s="103"/>
      <c r="AF55" s="106"/>
    </row>
    <row r="56" spans="1:32" ht="12" customHeight="1" x14ac:dyDescent="0.2">
      <c r="A56" s="107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6"/>
    </row>
    <row r="57" spans="1:32" x14ac:dyDescent="0.2">
      <c r="A57" s="637" t="s">
        <v>899</v>
      </c>
      <c r="B57" s="627"/>
      <c r="C57" s="627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8"/>
    </row>
    <row r="58" spans="1:32" x14ac:dyDescent="0.2">
      <c r="A58" s="626"/>
      <c r="B58" s="627"/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7"/>
      <c r="V58" s="627"/>
      <c r="W58" s="627"/>
      <c r="X58" s="627"/>
      <c r="Y58" s="627"/>
      <c r="Z58" s="627"/>
      <c r="AA58" s="627"/>
      <c r="AB58" s="627"/>
      <c r="AC58" s="627"/>
      <c r="AD58" s="627"/>
      <c r="AE58" s="627"/>
      <c r="AF58" s="628"/>
    </row>
    <row r="59" spans="1:32" ht="9.75" customHeight="1" x14ac:dyDescent="0.2">
      <c r="A59" s="630"/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2"/>
    </row>
    <row r="60" spans="1:32" ht="15" x14ac:dyDescent="0.25">
      <c r="A60" s="104" t="s">
        <v>900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658" t="s">
        <v>119</v>
      </c>
      <c r="AE60" s="659"/>
      <c r="AF60" s="660"/>
    </row>
    <row r="61" spans="1:32" ht="15" thickBot="1" x14ac:dyDescent="0.3">
      <c r="A61" s="122" t="s">
        <v>322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650" t="str">
        <f>IF(Anmeldeingang=0,"",IF(Anmeldeingang&gt;FristEingang,"Nein","Ja"))</f>
        <v/>
      </c>
      <c r="M61" s="650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661">
        <f>AnmeldeNummer</f>
        <v>0</v>
      </c>
      <c r="AE61" s="662"/>
      <c r="AF61" s="663"/>
    </row>
    <row r="62" spans="1:32" ht="14.25" x14ac:dyDescent="0.2">
      <c r="A62" s="122" t="s">
        <v>108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650" t="str">
        <f>IF(Beginn=0,"",IF(Beginn&gt;=FProjBeginn,"Ja","nein")&amp;IF(Beginn&gt;=Sprobeginn,"nein",""))</f>
        <v/>
      </c>
      <c r="M62" s="486"/>
      <c r="N62" s="486"/>
      <c r="O62" s="486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6"/>
    </row>
    <row r="63" spans="1:32" ht="14.25" x14ac:dyDescent="0.2">
      <c r="A63" s="122" t="s">
        <v>166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23" t="str">
        <f>IF(Akauswahl=1,"Ja",IF(Akauswahl=2,"Nein", " "))</f>
        <v xml:space="preserve"> </v>
      </c>
      <c r="M63" s="123"/>
      <c r="N63" s="103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64"/>
    </row>
    <row r="64" spans="1:32" ht="14.25" x14ac:dyDescent="0.2">
      <c r="A64" s="122" t="s">
        <v>901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650" t="str">
        <f>EUcharta</f>
        <v>fehlt</v>
      </c>
      <c r="M64" s="650"/>
      <c r="N64" s="650"/>
      <c r="O64" s="650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6"/>
    </row>
    <row r="65" spans="1:32" ht="14.25" x14ac:dyDescent="0.2">
      <c r="A65" s="122" t="s">
        <v>902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665"/>
      <c r="M65" s="665"/>
      <c r="N65" s="665"/>
      <c r="O65" s="665"/>
      <c r="P65" s="666" t="str">
        <f>IF(Einord="fehlerhaft","Korrektur","")</f>
        <v/>
      </c>
      <c r="Q65" s="650"/>
      <c r="R65" s="650"/>
      <c r="S65" s="650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8"/>
    </row>
    <row r="66" spans="1:32" ht="14.25" x14ac:dyDescent="0.2">
      <c r="A66" s="122" t="s">
        <v>904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649" t="str">
        <f>IF(Doplfoeauswahl=TRUE,"vorhanden","fehlt")</f>
        <v>fehlt</v>
      </c>
      <c r="M66" s="649"/>
      <c r="N66" s="649"/>
      <c r="O66" s="649"/>
      <c r="P66" s="123"/>
      <c r="Q66" s="123"/>
      <c r="R66" s="123"/>
      <c r="S66" s="12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</row>
    <row r="67" spans="1:32" x14ac:dyDescent="0.2">
      <c r="A67" s="122" t="s">
        <v>905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650" t="str">
        <f>IF(TNrlpauswahl=0,"",IF(TNrlpauswahl=1,"Ja","Nein"))</f>
        <v/>
      </c>
      <c r="M67" s="650"/>
      <c r="N67" s="650"/>
      <c r="O67" s="650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4"/>
    </row>
    <row r="68" spans="1:32" x14ac:dyDescent="0.2">
      <c r="A68" s="122" t="s">
        <v>906</v>
      </c>
      <c r="B68" s="123"/>
      <c r="C68" s="123"/>
      <c r="D68" s="123"/>
      <c r="E68" s="123"/>
      <c r="F68" s="123"/>
      <c r="G68" s="123"/>
      <c r="H68" s="123"/>
      <c r="I68" s="123"/>
      <c r="K68" s="123"/>
      <c r="L68" s="651"/>
      <c r="M68" s="651"/>
      <c r="N68" s="651"/>
      <c r="O68" s="651"/>
      <c r="P68" s="651"/>
      <c r="Q68" s="651"/>
      <c r="R68" s="651"/>
      <c r="S68" s="651"/>
      <c r="T68" s="651"/>
      <c r="U68" s="651"/>
      <c r="V68" s="651"/>
      <c r="W68" s="651"/>
      <c r="X68" s="651"/>
      <c r="Y68" s="651"/>
      <c r="Z68" s="651"/>
      <c r="AA68" s="651"/>
      <c r="AB68" s="651"/>
      <c r="AC68" s="651"/>
      <c r="AD68" s="651"/>
      <c r="AE68" s="651"/>
      <c r="AF68" s="652"/>
    </row>
    <row r="69" spans="1:32" ht="21.75" customHeight="1" x14ac:dyDescent="0.2">
      <c r="A69" s="125" t="s">
        <v>907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32" ht="14.25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</row>
    <row r="71" spans="1:32" ht="15" x14ac:dyDescent="0.2">
      <c r="A71" s="653" t="s">
        <v>805</v>
      </c>
      <c r="B71" s="654"/>
      <c r="C71" s="654"/>
      <c r="D71" s="654"/>
      <c r="E71" s="654"/>
      <c r="F71" s="654"/>
      <c r="G71" s="654"/>
      <c r="H71" s="654"/>
      <c r="I71" s="654"/>
      <c r="J71" s="654"/>
      <c r="K71" s="655" t="s">
        <v>908</v>
      </c>
      <c r="L71" s="655"/>
      <c r="M71" s="655"/>
      <c r="N71" s="655"/>
      <c r="O71" s="655"/>
      <c r="P71" s="655"/>
      <c r="Q71" s="656" t="s">
        <v>909</v>
      </c>
      <c r="R71" s="656"/>
      <c r="S71" s="656"/>
      <c r="T71" s="656"/>
      <c r="U71" s="656"/>
      <c r="V71" s="656"/>
      <c r="W71" s="656"/>
      <c r="X71" s="656"/>
      <c r="Y71" s="656"/>
      <c r="Z71" s="656"/>
      <c r="AA71" s="656"/>
      <c r="AB71" s="656"/>
      <c r="AC71" s="656"/>
      <c r="AD71" s="656"/>
      <c r="AE71" s="656"/>
      <c r="AF71" s="657"/>
    </row>
    <row r="72" spans="1:32" ht="29.25" customHeight="1" x14ac:dyDescent="0.2">
      <c r="A72" s="669" t="s">
        <v>853</v>
      </c>
      <c r="B72" s="670"/>
      <c r="C72" s="670"/>
      <c r="D72" s="670"/>
      <c r="E72" s="670"/>
      <c r="F72" s="670"/>
      <c r="G72" s="670"/>
      <c r="H72" s="670"/>
      <c r="I72" s="670"/>
      <c r="J72" s="670"/>
      <c r="K72" s="603" t="str">
        <f>IF(Auswahl!C14=1,"Ja","Nein")</f>
        <v>Nein</v>
      </c>
      <c r="L72" s="603"/>
      <c r="M72" s="603"/>
      <c r="N72" s="586"/>
      <c r="O72" s="586"/>
      <c r="P72" s="586"/>
      <c r="Q72" s="670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670"/>
      <c r="AC72" s="670"/>
      <c r="AD72" s="670"/>
      <c r="AE72" s="670"/>
      <c r="AF72" s="671"/>
    </row>
    <row r="73" spans="1:32" ht="25.5" customHeight="1" x14ac:dyDescent="0.2">
      <c r="A73" s="669" t="s">
        <v>799</v>
      </c>
      <c r="B73" s="670"/>
      <c r="C73" s="670"/>
      <c r="D73" s="670"/>
      <c r="E73" s="670"/>
      <c r="F73" s="670"/>
      <c r="G73" s="670"/>
      <c r="H73" s="670"/>
      <c r="I73" s="670"/>
      <c r="J73" s="670"/>
      <c r="K73" s="676" t="str">
        <f>IF(Auswahl!C15=1,"Ja","Nein")</f>
        <v>Nein</v>
      </c>
      <c r="L73" s="378"/>
      <c r="M73" s="378"/>
      <c r="N73" s="677"/>
      <c r="O73" s="677"/>
      <c r="P73" s="677"/>
      <c r="Q73" s="670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1"/>
    </row>
    <row r="74" spans="1:32" ht="22.5" customHeight="1" x14ac:dyDescent="0.2">
      <c r="A74" s="669" t="s">
        <v>800</v>
      </c>
      <c r="B74" s="670"/>
      <c r="C74" s="670"/>
      <c r="D74" s="670"/>
      <c r="E74" s="670"/>
      <c r="F74" s="670"/>
      <c r="G74" s="670"/>
      <c r="H74" s="670"/>
      <c r="I74" s="670"/>
      <c r="J74" s="670"/>
      <c r="K74" s="603" t="str">
        <f>IF(Auswahl!C16=1,"Ja","Nein")</f>
        <v>Nein</v>
      </c>
      <c r="L74" s="603"/>
      <c r="M74" s="603"/>
      <c r="N74" s="586"/>
      <c r="O74" s="586"/>
      <c r="P74" s="586"/>
      <c r="Q74" s="670"/>
      <c r="R74" s="670"/>
      <c r="S74" s="670"/>
      <c r="T74" s="670"/>
      <c r="U74" s="670"/>
      <c r="V74" s="670"/>
      <c r="W74" s="670"/>
      <c r="X74" s="670"/>
      <c r="Y74" s="670"/>
      <c r="Z74" s="670"/>
      <c r="AA74" s="670"/>
      <c r="AB74" s="670"/>
      <c r="AC74" s="670"/>
      <c r="AD74" s="670"/>
      <c r="AE74" s="670"/>
      <c r="AF74" s="671"/>
    </row>
    <row r="75" spans="1:32" ht="27" customHeight="1" x14ac:dyDescent="0.2">
      <c r="A75" s="672" t="s">
        <v>801</v>
      </c>
      <c r="B75" s="673"/>
      <c r="C75" s="673"/>
      <c r="D75" s="673"/>
      <c r="E75" s="673"/>
      <c r="F75" s="673"/>
      <c r="G75" s="673"/>
      <c r="H75" s="673"/>
      <c r="I75" s="673"/>
      <c r="J75" s="673"/>
      <c r="K75" s="674" t="str">
        <f>IF(Auswahl!C17=1,"Ja","Nein")</f>
        <v>Nein</v>
      </c>
      <c r="L75" s="674"/>
      <c r="M75" s="674"/>
      <c r="N75" s="601"/>
      <c r="O75" s="601"/>
      <c r="P75" s="601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5"/>
    </row>
    <row r="76" spans="1:32" ht="14.25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</row>
    <row r="77" spans="1:32" ht="12.75" customHeight="1" x14ac:dyDescent="0.25">
      <c r="A77" s="127" t="s">
        <v>144</v>
      </c>
      <c r="B77" s="102"/>
      <c r="C77" s="102"/>
      <c r="D77" s="102"/>
      <c r="E77" s="102"/>
      <c r="F77" s="102"/>
      <c r="G77" s="102"/>
      <c r="H77" s="102"/>
      <c r="I77" s="102"/>
      <c r="J77" s="685"/>
      <c r="K77" s="685"/>
      <c r="L77" s="686"/>
      <c r="M77" s="686"/>
      <c r="N77" s="686"/>
      <c r="O77" s="686"/>
      <c r="P77" s="686"/>
      <c r="Q77" s="686"/>
      <c r="R77" s="686"/>
      <c r="S77" s="686"/>
      <c r="T77" s="128"/>
      <c r="U77" s="102"/>
      <c r="V77" s="686"/>
      <c r="W77" s="686"/>
      <c r="X77" s="102"/>
      <c r="Y77" s="102"/>
      <c r="Z77" s="102"/>
      <c r="AA77" s="102"/>
      <c r="AB77" s="102"/>
      <c r="AC77" s="102"/>
      <c r="AD77" s="102"/>
      <c r="AE77" s="102"/>
      <c r="AF77" s="102"/>
    </row>
    <row r="78" spans="1:32" ht="47.25" customHeight="1" x14ac:dyDescent="0.2">
      <c r="A78" s="678" t="s">
        <v>143</v>
      </c>
      <c r="B78" s="472"/>
      <c r="C78" s="472"/>
      <c r="D78" s="472"/>
      <c r="E78" s="472"/>
      <c r="F78" s="472"/>
      <c r="G78" s="472"/>
      <c r="H78" s="472"/>
      <c r="I78" s="472"/>
      <c r="J78" s="472"/>
      <c r="K78" s="679" t="s">
        <v>148</v>
      </c>
      <c r="L78" s="680"/>
      <c r="M78" s="681"/>
      <c r="N78" s="680" t="s">
        <v>149</v>
      </c>
      <c r="O78" s="680"/>
      <c r="P78" s="680"/>
      <c r="Q78" s="679" t="s">
        <v>910</v>
      </c>
      <c r="R78" s="680"/>
      <c r="S78" s="681"/>
      <c r="T78" s="682" t="s">
        <v>909</v>
      </c>
      <c r="U78" s="682"/>
      <c r="V78" s="682"/>
      <c r="W78" s="682"/>
      <c r="X78" s="682"/>
      <c r="Y78" s="682"/>
      <c r="Z78" s="682"/>
      <c r="AA78" s="682"/>
      <c r="AB78" s="682"/>
      <c r="AC78" s="682"/>
      <c r="AD78" s="683" t="s">
        <v>125</v>
      </c>
      <c r="AE78" s="683"/>
      <c r="AF78" s="684"/>
    </row>
    <row r="79" spans="1:32" ht="38.1" customHeight="1" x14ac:dyDescent="0.2">
      <c r="A79" s="702" t="s">
        <v>911</v>
      </c>
      <c r="B79" s="703"/>
      <c r="C79" s="703"/>
      <c r="D79" s="703"/>
      <c r="E79" s="703"/>
      <c r="F79" s="703"/>
      <c r="G79" s="703"/>
      <c r="H79" s="703"/>
      <c r="I79" s="703"/>
      <c r="J79" s="703"/>
      <c r="K79" s="595"/>
      <c r="L79" s="704"/>
      <c r="M79" s="705"/>
      <c r="N79" s="704"/>
      <c r="O79" s="704"/>
      <c r="P79" s="704"/>
      <c r="Q79" s="595"/>
      <c r="R79" s="704"/>
      <c r="S79" s="705"/>
      <c r="T79" s="706"/>
      <c r="U79" s="706"/>
      <c r="V79" s="706"/>
      <c r="W79" s="706"/>
      <c r="X79" s="706"/>
      <c r="Y79" s="706"/>
      <c r="Z79" s="706"/>
      <c r="AA79" s="706"/>
      <c r="AB79" s="706"/>
      <c r="AC79" s="706"/>
      <c r="AD79" s="706"/>
      <c r="AE79" s="707">
        <f>DOKU_Verk!A16</f>
        <v>0</v>
      </c>
      <c r="AF79" s="708"/>
    </row>
    <row r="80" spans="1:32" ht="38.1" customHeight="1" x14ac:dyDescent="0.2">
      <c r="A80" s="702" t="s">
        <v>918</v>
      </c>
      <c r="B80" s="703"/>
      <c r="C80" s="703"/>
      <c r="D80" s="703"/>
      <c r="E80" s="703"/>
      <c r="F80" s="703"/>
      <c r="G80" s="703"/>
      <c r="H80" s="703"/>
      <c r="I80" s="703"/>
      <c r="J80" s="703"/>
      <c r="K80" s="595"/>
      <c r="L80" s="704"/>
      <c r="M80" s="705"/>
      <c r="N80" s="704"/>
      <c r="O80" s="704"/>
      <c r="P80" s="704"/>
      <c r="Q80" s="595"/>
      <c r="R80" s="704"/>
      <c r="S80" s="705"/>
      <c r="T80" s="706"/>
      <c r="U80" s="706"/>
      <c r="V80" s="706"/>
      <c r="W80" s="706"/>
      <c r="X80" s="706"/>
      <c r="Y80" s="706"/>
      <c r="Z80" s="706"/>
      <c r="AA80" s="706"/>
      <c r="AB80" s="706"/>
      <c r="AC80" s="706"/>
      <c r="AD80" s="706"/>
      <c r="AE80" s="708">
        <f>DOKU_Verk!B16</f>
        <v>0</v>
      </c>
      <c r="AF80" s="708"/>
    </row>
    <row r="81" spans="1:32" ht="38.1" customHeight="1" x14ac:dyDescent="0.2">
      <c r="A81" s="702" t="s">
        <v>912</v>
      </c>
      <c r="B81" s="703"/>
      <c r="C81" s="703"/>
      <c r="D81" s="703"/>
      <c r="E81" s="703"/>
      <c r="F81" s="703"/>
      <c r="G81" s="703"/>
      <c r="H81" s="703"/>
      <c r="I81" s="703"/>
      <c r="J81" s="703"/>
      <c r="K81" s="595"/>
      <c r="L81" s="704"/>
      <c r="M81" s="705"/>
      <c r="N81" s="704"/>
      <c r="O81" s="704"/>
      <c r="P81" s="704"/>
      <c r="Q81" s="595"/>
      <c r="R81" s="704"/>
      <c r="S81" s="705"/>
      <c r="T81" s="706"/>
      <c r="U81" s="706"/>
      <c r="V81" s="706"/>
      <c r="W81" s="706"/>
      <c r="X81" s="706"/>
      <c r="Y81" s="706"/>
      <c r="Z81" s="706"/>
      <c r="AA81" s="706"/>
      <c r="AB81" s="706"/>
      <c r="AC81" s="706"/>
      <c r="AD81" s="706"/>
      <c r="AE81" s="707">
        <f>DOKU_Verk!C16</f>
        <v>0</v>
      </c>
      <c r="AF81" s="708"/>
    </row>
    <row r="82" spans="1:32" ht="38.1" customHeight="1" x14ac:dyDescent="0.2">
      <c r="A82" s="702" t="s">
        <v>913</v>
      </c>
      <c r="B82" s="703"/>
      <c r="C82" s="703"/>
      <c r="D82" s="703"/>
      <c r="E82" s="703"/>
      <c r="F82" s="703"/>
      <c r="G82" s="703"/>
      <c r="H82" s="703"/>
      <c r="I82" s="703"/>
      <c r="J82" s="703"/>
      <c r="K82" s="595"/>
      <c r="L82" s="704"/>
      <c r="M82" s="705"/>
      <c r="N82" s="704"/>
      <c r="O82" s="704"/>
      <c r="P82" s="704"/>
      <c r="Q82" s="595"/>
      <c r="R82" s="704"/>
      <c r="S82" s="705"/>
      <c r="T82" s="706"/>
      <c r="U82" s="706"/>
      <c r="V82" s="706"/>
      <c r="W82" s="706"/>
      <c r="X82" s="706"/>
      <c r="Y82" s="706"/>
      <c r="Z82" s="706"/>
      <c r="AA82" s="706"/>
      <c r="AB82" s="706"/>
      <c r="AC82" s="706"/>
      <c r="AD82" s="706"/>
      <c r="AE82" s="707">
        <f>DOKU_Verk!D16</f>
        <v>0</v>
      </c>
      <c r="AF82" s="708"/>
    </row>
    <row r="83" spans="1:32" ht="38.1" customHeight="1" x14ac:dyDescent="0.2">
      <c r="A83" s="702" t="s">
        <v>914</v>
      </c>
      <c r="B83" s="703"/>
      <c r="C83" s="703"/>
      <c r="D83" s="703"/>
      <c r="E83" s="703"/>
      <c r="F83" s="703"/>
      <c r="G83" s="703"/>
      <c r="H83" s="703"/>
      <c r="I83" s="703"/>
      <c r="J83" s="703"/>
      <c r="K83" s="595"/>
      <c r="L83" s="704"/>
      <c r="M83" s="705"/>
      <c r="N83" s="704"/>
      <c r="O83" s="704"/>
      <c r="P83" s="704"/>
      <c r="Q83" s="595"/>
      <c r="R83" s="704"/>
      <c r="S83" s="705"/>
      <c r="T83" s="706"/>
      <c r="U83" s="706"/>
      <c r="V83" s="706"/>
      <c r="W83" s="706"/>
      <c r="X83" s="706"/>
      <c r="Y83" s="706"/>
      <c r="Z83" s="706"/>
      <c r="AA83" s="706"/>
      <c r="AB83" s="706"/>
      <c r="AC83" s="706"/>
      <c r="AD83" s="706"/>
      <c r="AE83" s="707">
        <f>DOKU_Verk!E16</f>
        <v>0</v>
      </c>
      <c r="AF83" s="708"/>
    </row>
    <row r="84" spans="1:32" ht="22.5" customHeight="1" x14ac:dyDescent="0.2">
      <c r="A84" s="690" t="s">
        <v>915</v>
      </c>
      <c r="B84" s="586"/>
      <c r="C84" s="586"/>
      <c r="D84" s="586"/>
      <c r="E84" s="586"/>
      <c r="F84" s="586"/>
      <c r="G84" s="586"/>
      <c r="H84" s="586"/>
      <c r="I84" s="586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691">
        <f>DOKU_Verk!J16</f>
        <v>0</v>
      </c>
      <c r="AF84" s="657"/>
    </row>
    <row r="85" spans="1:32" ht="12.75" customHeight="1" x14ac:dyDescent="0.2">
      <c r="A85" s="692" t="s">
        <v>894</v>
      </c>
      <c r="B85" s="693"/>
      <c r="C85" s="693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3"/>
      <c r="AC85" s="693"/>
      <c r="AD85" s="693"/>
      <c r="AE85" s="695">
        <f>SUM(AE79:AF84)</f>
        <v>0</v>
      </c>
      <c r="AF85" s="696"/>
    </row>
    <row r="86" spans="1:32" ht="42.75" customHeight="1" x14ac:dyDescent="0.2">
      <c r="A86" s="694"/>
      <c r="B86" s="694"/>
      <c r="C86" s="694"/>
      <c r="D86" s="694"/>
      <c r="E86" s="694"/>
      <c r="F86" s="694"/>
      <c r="G86" s="694"/>
      <c r="H86" s="694"/>
      <c r="I86" s="694"/>
      <c r="J86" s="694"/>
      <c r="K86" s="694"/>
      <c r="L86" s="694"/>
      <c r="M86" s="694"/>
      <c r="N86" s="694"/>
      <c r="O86" s="694"/>
      <c r="P86" s="694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694"/>
      <c r="AB86" s="694"/>
      <c r="AC86" s="694"/>
      <c r="AD86" s="694"/>
      <c r="AE86" s="696"/>
      <c r="AF86" s="696"/>
    </row>
    <row r="87" spans="1:32" ht="15" customHeight="1" x14ac:dyDescent="0.2">
      <c r="A87" s="129"/>
      <c r="B87" s="130"/>
      <c r="C87" s="130"/>
      <c r="D87" s="130"/>
      <c r="E87" s="130"/>
      <c r="F87" s="130"/>
      <c r="G87" s="130"/>
      <c r="H87" s="130"/>
      <c r="I87" s="130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698" t="s">
        <v>35</v>
      </c>
      <c r="X87" s="698"/>
      <c r="Y87" s="698"/>
      <c r="Z87" s="698"/>
      <c r="AA87" s="698"/>
      <c r="AB87" s="698"/>
      <c r="AC87" s="698"/>
      <c r="AD87" s="132"/>
      <c r="AE87" s="697"/>
      <c r="AF87" s="696"/>
    </row>
    <row r="88" spans="1:32" ht="15" x14ac:dyDescent="0.25">
      <c r="A88" s="699" t="s">
        <v>916</v>
      </c>
      <c r="B88" s="700"/>
      <c r="C88" s="700"/>
      <c r="D88" s="700"/>
      <c r="E88" s="700"/>
      <c r="F88" s="700"/>
      <c r="G88" s="700"/>
      <c r="H88" s="700"/>
      <c r="I88" s="700"/>
      <c r="J88" s="700"/>
      <c r="K88" s="701"/>
      <c r="L88" s="701"/>
      <c r="M88" s="701"/>
      <c r="N88" s="701"/>
      <c r="O88" s="701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4"/>
    </row>
    <row r="89" spans="1:32" ht="15" x14ac:dyDescent="0.2">
      <c r="A89" s="107" t="s">
        <v>316</v>
      </c>
      <c r="B89" s="103"/>
      <c r="C89" s="103"/>
      <c r="D89" s="103"/>
      <c r="E89" s="103"/>
      <c r="F89" s="103"/>
      <c r="G89" s="103"/>
      <c r="H89" s="103"/>
      <c r="I89" s="103"/>
      <c r="J89" s="618"/>
      <c r="K89" s="618"/>
      <c r="L89" s="618"/>
      <c r="M89" s="618"/>
      <c r="N89" s="618"/>
      <c r="O89" s="618"/>
      <c r="P89" s="618"/>
      <c r="Q89" s="618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16"/>
      <c r="AD89" s="103"/>
      <c r="AE89" s="115"/>
      <c r="AF89" s="133"/>
    </row>
    <row r="90" spans="1:32" ht="7.5" customHeight="1" x14ac:dyDescent="0.2">
      <c r="A90" s="107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16"/>
      <c r="AD90" s="103"/>
      <c r="AE90" s="115"/>
      <c r="AF90" s="133"/>
    </row>
    <row r="91" spans="1:32" ht="14.25" x14ac:dyDescent="0.2">
      <c r="A91" s="109" t="s">
        <v>810</v>
      </c>
      <c r="B91" s="110"/>
      <c r="C91" s="110"/>
      <c r="D91" s="110"/>
      <c r="E91" s="110"/>
      <c r="F91" s="110"/>
      <c r="G91" s="110"/>
      <c r="H91" s="110"/>
      <c r="I91" s="110"/>
      <c r="J91" s="687"/>
      <c r="K91" s="687"/>
      <c r="L91" s="687"/>
      <c r="M91" s="687"/>
      <c r="N91" s="687"/>
      <c r="O91" s="687"/>
      <c r="P91" s="687"/>
      <c r="Q91" s="687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1"/>
    </row>
    <row r="92" spans="1:32" ht="14.25" x14ac:dyDescent="0.2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</row>
    <row r="93" spans="1:32" ht="28.5" customHeight="1" x14ac:dyDescent="0.2">
      <c r="A93" s="134" t="s">
        <v>917</v>
      </c>
      <c r="B93" s="117"/>
      <c r="C93" s="118"/>
      <c r="D93" s="118"/>
      <c r="E93" s="118"/>
      <c r="F93" s="118"/>
      <c r="G93" s="688"/>
      <c r="H93" s="688"/>
      <c r="I93" s="688"/>
      <c r="J93" s="688"/>
      <c r="K93" s="688"/>
      <c r="L93" s="688"/>
      <c r="M93" s="688"/>
      <c r="N93" s="688"/>
      <c r="O93" s="688"/>
      <c r="P93" s="688"/>
      <c r="Q93" s="688"/>
      <c r="R93" s="688"/>
      <c r="S93" s="688"/>
      <c r="T93" s="688"/>
      <c r="U93" s="688"/>
      <c r="V93" s="688"/>
      <c r="W93" s="688"/>
      <c r="X93" s="688"/>
      <c r="Y93" s="688"/>
      <c r="Z93" s="688"/>
      <c r="AA93" s="688"/>
      <c r="AB93" s="688"/>
      <c r="AC93" s="688"/>
      <c r="AD93" s="688"/>
      <c r="AE93" s="688"/>
      <c r="AF93" s="689"/>
    </row>
  </sheetData>
  <mergeCells count="156">
    <mergeCell ref="AE83:AF83"/>
    <mergeCell ref="A81:J81"/>
    <mergeCell ref="K81:M81"/>
    <mergeCell ref="N81:P81"/>
    <mergeCell ref="Q81:S81"/>
    <mergeCell ref="T81:AD81"/>
    <mergeCell ref="AE81:AF81"/>
    <mergeCell ref="A82:J82"/>
    <mergeCell ref="K82:M82"/>
    <mergeCell ref="N82:P82"/>
    <mergeCell ref="Q82:S82"/>
    <mergeCell ref="T82:AD82"/>
    <mergeCell ref="AE82:AF82"/>
    <mergeCell ref="A83:J83"/>
    <mergeCell ref="K83:M83"/>
    <mergeCell ref="N83:P83"/>
    <mergeCell ref="Q83:S83"/>
    <mergeCell ref="T83:AD83"/>
    <mergeCell ref="A79:J79"/>
    <mergeCell ref="K79:M79"/>
    <mergeCell ref="N79:P79"/>
    <mergeCell ref="Q79:S79"/>
    <mergeCell ref="T79:AD79"/>
    <mergeCell ref="AE79:AF79"/>
    <mergeCell ref="A80:J80"/>
    <mergeCell ref="K80:M80"/>
    <mergeCell ref="N80:P80"/>
    <mergeCell ref="Q80:S80"/>
    <mergeCell ref="T80:AD80"/>
    <mergeCell ref="AE80:AF80"/>
    <mergeCell ref="J89:Q89"/>
    <mergeCell ref="J91:Q91"/>
    <mergeCell ref="G93:AF93"/>
    <mergeCell ref="A84:I84"/>
    <mergeCell ref="AE84:AF84"/>
    <mergeCell ref="A85:AD86"/>
    <mergeCell ref="AE85:AF87"/>
    <mergeCell ref="W87:AC87"/>
    <mergeCell ref="A88:AF88"/>
    <mergeCell ref="A78:J78"/>
    <mergeCell ref="K78:M78"/>
    <mergeCell ref="N78:P78"/>
    <mergeCell ref="Q78:S78"/>
    <mergeCell ref="T78:AC78"/>
    <mergeCell ref="AD78:AF78"/>
    <mergeCell ref="J77:K77"/>
    <mergeCell ref="L77:M77"/>
    <mergeCell ref="N77:O77"/>
    <mergeCell ref="P77:Q77"/>
    <mergeCell ref="R77:S77"/>
    <mergeCell ref="V77:W77"/>
    <mergeCell ref="A74:J74"/>
    <mergeCell ref="K74:M74"/>
    <mergeCell ref="N74:P74"/>
    <mergeCell ref="Q74:AF74"/>
    <mergeCell ref="A75:J75"/>
    <mergeCell ref="K75:M75"/>
    <mergeCell ref="N75:P75"/>
    <mergeCell ref="Q75:AF75"/>
    <mergeCell ref="A72:J72"/>
    <mergeCell ref="K72:M72"/>
    <mergeCell ref="N72:P72"/>
    <mergeCell ref="Q72:AF72"/>
    <mergeCell ref="A73:J73"/>
    <mergeCell ref="K73:M73"/>
    <mergeCell ref="N73:P73"/>
    <mergeCell ref="Q73:AF73"/>
    <mergeCell ref="L66:O66"/>
    <mergeCell ref="L67:O67"/>
    <mergeCell ref="L68:AF68"/>
    <mergeCell ref="A71:J71"/>
    <mergeCell ref="K71:M71"/>
    <mergeCell ref="N71:P71"/>
    <mergeCell ref="Q71:AF71"/>
    <mergeCell ref="AD60:AF60"/>
    <mergeCell ref="L61:M61"/>
    <mergeCell ref="AD61:AF61"/>
    <mergeCell ref="O63:AF63"/>
    <mergeCell ref="L64:O64"/>
    <mergeCell ref="L65:O65"/>
    <mergeCell ref="P65:S65"/>
    <mergeCell ref="T65:AF65"/>
    <mergeCell ref="L62:O62"/>
    <mergeCell ref="A42:AF44"/>
    <mergeCell ref="A45:AF48"/>
    <mergeCell ref="A49:AF52"/>
    <mergeCell ref="N54:V54"/>
    <mergeCell ref="Z54:AF54"/>
    <mergeCell ref="A57:AF59"/>
    <mergeCell ref="J31:L31"/>
    <mergeCell ref="A32:G32"/>
    <mergeCell ref="H32:AF32"/>
    <mergeCell ref="L34:AF34"/>
    <mergeCell ref="A35:AF39"/>
    <mergeCell ref="R41:W41"/>
    <mergeCell ref="Z41:AF41"/>
    <mergeCell ref="A29:G29"/>
    <mergeCell ref="M29:W29"/>
    <mergeCell ref="G30:J30"/>
    <mergeCell ref="L30:P30"/>
    <mergeCell ref="Q30:T30"/>
    <mergeCell ref="W30:AF30"/>
    <mergeCell ref="A26:H26"/>
    <mergeCell ref="I26:L26"/>
    <mergeCell ref="P26:T26"/>
    <mergeCell ref="U26:X26"/>
    <mergeCell ref="A27:H27"/>
    <mergeCell ref="I27:L27"/>
    <mergeCell ref="U27:X27"/>
    <mergeCell ref="AC24:AF24"/>
    <mergeCell ref="I25:L25"/>
    <mergeCell ref="M25:P25"/>
    <mergeCell ref="Q25:T25"/>
    <mergeCell ref="U25:X25"/>
    <mergeCell ref="Y25:AB25"/>
    <mergeCell ref="AC25:AF25"/>
    <mergeCell ref="A24:H24"/>
    <mergeCell ref="I24:L24"/>
    <mergeCell ref="M24:P24"/>
    <mergeCell ref="Q24:T24"/>
    <mergeCell ref="U24:X24"/>
    <mergeCell ref="Y24:AB24"/>
    <mergeCell ref="AC22:AF22"/>
    <mergeCell ref="A23:H23"/>
    <mergeCell ref="I23:L23"/>
    <mergeCell ref="M23:P23"/>
    <mergeCell ref="Q23:T23"/>
    <mergeCell ref="U23:X23"/>
    <mergeCell ref="Y23:AB23"/>
    <mergeCell ref="AC23:AF23"/>
    <mergeCell ref="A22:H22"/>
    <mergeCell ref="I22:L22"/>
    <mergeCell ref="M22:P22"/>
    <mergeCell ref="Q22:T22"/>
    <mergeCell ref="U22:X22"/>
    <mergeCell ref="Y22:AB22"/>
    <mergeCell ref="A21:H21"/>
    <mergeCell ref="I21:L21"/>
    <mergeCell ref="M21:AF21"/>
    <mergeCell ref="H9:AE9"/>
    <mergeCell ref="D10:L10"/>
    <mergeCell ref="Q10:AE10"/>
    <mergeCell ref="A13:G13"/>
    <mergeCell ref="A14:G14"/>
    <mergeCell ref="H14:L14"/>
    <mergeCell ref="N14:R14"/>
    <mergeCell ref="I2:V3"/>
    <mergeCell ref="AD5:AF5"/>
    <mergeCell ref="E6:L6"/>
    <mergeCell ref="V6:AB6"/>
    <mergeCell ref="AD6:AF6"/>
    <mergeCell ref="G8:AE8"/>
    <mergeCell ref="H16:AF16"/>
    <mergeCell ref="A17:G17"/>
    <mergeCell ref="A18:G18"/>
    <mergeCell ref="H18:AF18"/>
  </mergeCells>
  <conditionalFormatting sqref="K72:M75">
    <cfRule type="cellIs" dxfId="0" priority="1" operator="equal">
      <formula>"Nein"</formula>
    </cfRule>
  </conditionalFormatting>
  <pageMargins left="0.31496062992125984" right="0.31496062992125984" top="0.39370078740157483" bottom="0.59055118110236227" header="0.31496062992125984" footer="0.31496062992125984"/>
  <pageSetup paperSize="9" orientation="portrait" r:id="rId1"/>
  <ignoredErrors>
    <ignoredError sqref="I27 U27 I24 M24 Q24 U24 Y24 AC24 W30" evalError="1"/>
    <ignoredError sqref="K7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95250</xdr:rowOff>
                  </from>
                  <to>
                    <xdr:col>12</xdr:col>
                    <xdr:colOff>104775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95250</xdr:rowOff>
                  </from>
                  <to>
                    <xdr:col>15</xdr:col>
                    <xdr:colOff>123825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17</xdr:col>
                    <xdr:colOff>66675</xdr:colOff>
                    <xdr:row>78</xdr:row>
                    <xdr:rowOff>85725</xdr:rowOff>
                  </from>
                  <to>
                    <xdr:col>19</xdr:col>
                    <xdr:colOff>9525</xdr:colOff>
                    <xdr:row>78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79</xdr:row>
                    <xdr:rowOff>142875</xdr:rowOff>
                  </from>
                  <to>
                    <xdr:col>12</xdr:col>
                    <xdr:colOff>104775</xdr:colOff>
                    <xdr:row>79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133350</xdr:rowOff>
                  </from>
                  <to>
                    <xdr:col>15</xdr:col>
                    <xdr:colOff>123825</xdr:colOff>
                    <xdr:row>79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79</xdr:row>
                    <xdr:rowOff>152400</xdr:rowOff>
                  </from>
                  <to>
                    <xdr:col>18</xdr:col>
                    <xdr:colOff>142875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80</xdr:row>
                    <xdr:rowOff>104775</xdr:rowOff>
                  </from>
                  <to>
                    <xdr:col>18</xdr:col>
                    <xdr:colOff>152400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123825</xdr:rowOff>
                  </from>
                  <to>
                    <xdr:col>12</xdr:col>
                    <xdr:colOff>123825</xdr:colOff>
                    <xdr:row>80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13</xdr:col>
                    <xdr:colOff>171450</xdr:colOff>
                    <xdr:row>80</xdr:row>
                    <xdr:rowOff>114300</xdr:rowOff>
                  </from>
                  <to>
                    <xdr:col>15</xdr:col>
                    <xdr:colOff>114300</xdr:colOff>
                    <xdr:row>80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85725</xdr:rowOff>
                  </from>
                  <to>
                    <xdr:col>18</xdr:col>
                    <xdr:colOff>152400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81</xdr:row>
                    <xdr:rowOff>123825</xdr:rowOff>
                  </from>
                  <to>
                    <xdr:col>12</xdr:col>
                    <xdr:colOff>133350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123825</xdr:rowOff>
                  </from>
                  <to>
                    <xdr:col>15</xdr:col>
                    <xdr:colOff>123825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82</xdr:row>
                    <xdr:rowOff>104775</xdr:rowOff>
                  </from>
                  <to>
                    <xdr:col>12</xdr:col>
                    <xdr:colOff>123825</xdr:colOff>
                    <xdr:row>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82</xdr:row>
                    <xdr:rowOff>95250</xdr:rowOff>
                  </from>
                  <to>
                    <xdr:col>15</xdr:col>
                    <xdr:colOff>123825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17</xdr:col>
                    <xdr:colOff>19050</xdr:colOff>
                    <xdr:row>82</xdr:row>
                    <xdr:rowOff>95250</xdr:rowOff>
                  </from>
                  <to>
                    <xdr:col>18</xdr:col>
                    <xdr:colOff>142875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83</xdr:row>
                    <xdr:rowOff>0</xdr:rowOff>
                  </from>
                  <to>
                    <xdr:col>11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20" name="Check Box 33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95250</xdr:rowOff>
                  </from>
                  <to>
                    <xdr:col>12</xdr:col>
                    <xdr:colOff>104775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21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95250</xdr:rowOff>
                  </from>
                  <to>
                    <xdr:col>15</xdr:col>
                    <xdr:colOff>123825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22" name="Check Box 35">
              <controlPr defaultSize="0" autoFill="0" autoLine="0" autoPict="0">
                <anchor moveWithCells="1">
                  <from>
                    <xdr:col>17</xdr:col>
                    <xdr:colOff>66675</xdr:colOff>
                    <xdr:row>78</xdr:row>
                    <xdr:rowOff>85725</xdr:rowOff>
                  </from>
                  <to>
                    <xdr:col>19</xdr:col>
                    <xdr:colOff>9525</xdr:colOff>
                    <xdr:row>78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23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79</xdr:row>
                    <xdr:rowOff>142875</xdr:rowOff>
                  </from>
                  <to>
                    <xdr:col>12</xdr:col>
                    <xdr:colOff>104775</xdr:colOff>
                    <xdr:row>79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24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133350</xdr:rowOff>
                  </from>
                  <to>
                    <xdr:col>15</xdr:col>
                    <xdr:colOff>123825</xdr:colOff>
                    <xdr:row>79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25" name="Check Box 38">
              <controlPr defaultSize="0" autoFill="0" autoLine="0" autoPict="0">
                <anchor moveWithCells="1">
                  <from>
                    <xdr:col>17</xdr:col>
                    <xdr:colOff>19050</xdr:colOff>
                    <xdr:row>79</xdr:row>
                    <xdr:rowOff>152400</xdr:rowOff>
                  </from>
                  <to>
                    <xdr:col>18</xdr:col>
                    <xdr:colOff>142875</xdr:colOff>
                    <xdr:row>79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26" name="Check Box 39">
              <controlPr defaultSize="0" autoFill="0" autoLine="0" autoPict="0">
                <anchor moveWithCells="1">
                  <from>
                    <xdr:col>17</xdr:col>
                    <xdr:colOff>28575</xdr:colOff>
                    <xdr:row>80</xdr:row>
                    <xdr:rowOff>104775</xdr:rowOff>
                  </from>
                  <to>
                    <xdr:col>18</xdr:col>
                    <xdr:colOff>152400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27" name="Check Box 40">
              <controlPr defaultSize="0" autoFill="0" autoLine="0" autoPict="0">
                <anchor moveWithCells="1">
                  <from>
                    <xdr:col>11</xdr:col>
                    <xdr:colOff>0</xdr:colOff>
                    <xdr:row>80</xdr:row>
                    <xdr:rowOff>123825</xdr:rowOff>
                  </from>
                  <to>
                    <xdr:col>12</xdr:col>
                    <xdr:colOff>123825</xdr:colOff>
                    <xdr:row>80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28" name="Check Box 41">
              <controlPr defaultSize="0" autoFill="0" autoLine="0" autoPict="0">
                <anchor moveWithCells="1">
                  <from>
                    <xdr:col>13</xdr:col>
                    <xdr:colOff>171450</xdr:colOff>
                    <xdr:row>80</xdr:row>
                    <xdr:rowOff>114300</xdr:rowOff>
                  </from>
                  <to>
                    <xdr:col>15</xdr:col>
                    <xdr:colOff>114300</xdr:colOff>
                    <xdr:row>80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29" name="Check Box 42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85725</xdr:rowOff>
                  </from>
                  <to>
                    <xdr:col>18</xdr:col>
                    <xdr:colOff>152400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30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81</xdr:row>
                    <xdr:rowOff>123825</xdr:rowOff>
                  </from>
                  <to>
                    <xdr:col>12</xdr:col>
                    <xdr:colOff>133350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31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81</xdr:row>
                    <xdr:rowOff>123825</xdr:rowOff>
                  </from>
                  <to>
                    <xdr:col>15</xdr:col>
                    <xdr:colOff>123825</xdr:colOff>
                    <xdr:row>81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32" name="Check Box 45">
              <controlPr defaultSize="0" autoFill="0" autoLine="0" autoPict="0">
                <anchor moveWithCells="1">
                  <from>
                    <xdr:col>11</xdr:col>
                    <xdr:colOff>0</xdr:colOff>
                    <xdr:row>82</xdr:row>
                    <xdr:rowOff>104775</xdr:rowOff>
                  </from>
                  <to>
                    <xdr:col>12</xdr:col>
                    <xdr:colOff>123825</xdr:colOff>
                    <xdr:row>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33" name="Check Box 46">
              <controlPr defaultSize="0" autoFill="0" autoLine="0" autoPict="0">
                <anchor moveWithCells="1">
                  <from>
                    <xdr:col>14</xdr:col>
                    <xdr:colOff>0</xdr:colOff>
                    <xdr:row>82</xdr:row>
                    <xdr:rowOff>95250</xdr:rowOff>
                  </from>
                  <to>
                    <xdr:col>15</xdr:col>
                    <xdr:colOff>123825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34" name="Check Box 47">
              <controlPr defaultSize="0" autoFill="0" autoLine="0" autoPict="0">
                <anchor moveWithCells="1">
                  <from>
                    <xdr:col>17</xdr:col>
                    <xdr:colOff>19050</xdr:colOff>
                    <xdr:row>82</xdr:row>
                    <xdr:rowOff>95250</xdr:rowOff>
                  </from>
                  <to>
                    <xdr:col>18</xdr:col>
                    <xdr:colOff>142875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35" name="Check Box 48">
              <controlPr defaultSize="0" autoFill="0" autoLine="0" autoPict="0">
                <anchor moveWithCells="1">
                  <from>
                    <xdr:col>9</xdr:col>
                    <xdr:colOff>38100</xdr:colOff>
                    <xdr:row>83</xdr:row>
                    <xdr:rowOff>0</xdr:rowOff>
                  </from>
                  <to>
                    <xdr:col>11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83BE09E-B52E-494E-B1F4-9127511B9720}">
          <x14:formula1>
            <xm:f>Auswahl!$C$41:$C$43</xm:f>
          </x14:formula1>
          <xm:sqref>L65:O65</xm:sqref>
        </x14:dataValidation>
        <x14:dataValidation type="list" allowBlank="1" showInputMessage="1" showErrorMessage="1" xr:uid="{A26D4BA4-496C-447A-9F56-BFAFB6336AB3}">
          <x14:formula1>
            <xm:f>Auswahl!$A$59:$A$62</xm:f>
          </x14:formula1>
          <xm:sqref>Q30:T30</xm:sqref>
        </x14:dataValidation>
        <x14:dataValidation type="list" allowBlank="1" showInputMessage="1" showErrorMessage="1" xr:uid="{EA1B9A8B-D870-4B1F-B326-2C8FB8B4B7B3}">
          <x14:formula1>
            <xm:f>FAnsatz!$R$21:$R$36</xm:f>
          </x14:formula1>
          <xm:sqref>T65:AF65</xm:sqref>
        </x14:dataValidation>
        <x14:dataValidation type="list" allowBlank="1" showInputMessage="1" showErrorMessage="1" xr:uid="{8243F3B5-FE7A-4262-95AE-BAF796CD5756}">
          <x14:formula1>
            <xm:f>Auswahl!$A$40:$A$44</xm:f>
          </x14:formula1>
          <xm:sqref>Z41:AF41</xm:sqref>
        </x14:dataValidation>
        <x14:dataValidation type="list" allowBlank="1" showInputMessage="1" showErrorMessage="1" xr:uid="{733C84D0-EC48-408D-94CB-0BC6E6D0768C}">
          <x14:formula1>
            <xm:f>Auswahl!$A$46:$A$48</xm:f>
          </x14:formula1>
          <xm:sqref>Z54:AF54</xm:sqref>
        </x14:dataValidation>
        <x14:dataValidation type="list" allowBlank="1" showInputMessage="1" showErrorMessage="1" xr:uid="{D662ECD3-B089-4353-9A91-EDDB1363CAED}">
          <x14:formula1>
            <xm:f>Auswahl!$A$50:$A$54</xm:f>
          </x14:formula1>
          <xm:sqref>O63:AF63</xm:sqref>
        </x14:dataValidation>
        <x14:dataValidation type="list" allowBlank="1" showInputMessage="1" showErrorMessage="1" xr:uid="{26F598FE-9777-40BB-86BE-B6B2B1A63B19}">
          <x14:formula1>
            <xm:f>Auswahl!$C$47:$C$50</xm:f>
          </x14:formula1>
          <xm:sqref>J89:Q91</xm:sqref>
        </x14:dataValidation>
        <x14:dataValidation type="list" allowBlank="1" showInputMessage="1" showErrorMessage="1" xr:uid="{ED475882-935A-4FD8-8D1D-8C18EC49E304}">
          <x14:formula1>
            <xm:f>Auswahl!$C$53:$C$56</xm:f>
          </x14:formula1>
          <xm:sqref>G93:AF93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8916-10AD-4046-820E-A276280DABC8}">
  <dimension ref="A1:E10"/>
  <sheetViews>
    <sheetView workbookViewId="0">
      <pane ySplit="1" topLeftCell="A2" activePane="bottomLeft" state="frozen"/>
      <selection pane="bottomLeft" activeCell="A11" sqref="A11"/>
    </sheetView>
  </sheetViews>
  <sheetFormatPr baseColWidth="10" defaultRowHeight="12.75" x14ac:dyDescent="0.2"/>
  <cols>
    <col min="1" max="1" width="22.140625" customWidth="1"/>
    <col min="2" max="2" width="42.85546875" customWidth="1"/>
  </cols>
  <sheetData>
    <row r="1" spans="1:5" s="4" customFormat="1" x14ac:dyDescent="0.2">
      <c r="A1" s="4" t="s">
        <v>960</v>
      </c>
      <c r="C1" s="4" t="s">
        <v>961</v>
      </c>
      <c r="D1" s="4" t="s">
        <v>962</v>
      </c>
      <c r="E1" s="4" t="s">
        <v>963</v>
      </c>
    </row>
    <row r="2" spans="1:5" x14ac:dyDescent="0.2">
      <c r="A2" s="65" t="s">
        <v>317</v>
      </c>
      <c r="B2" t="s">
        <v>964</v>
      </c>
      <c r="C2" s="65" t="s">
        <v>123</v>
      </c>
      <c r="D2" s="65" t="s">
        <v>716</v>
      </c>
      <c r="E2" s="61">
        <v>45832</v>
      </c>
    </row>
    <row r="3" spans="1:5" x14ac:dyDescent="0.2">
      <c r="A3" s="65" t="s">
        <v>965</v>
      </c>
      <c r="B3" s="65" t="s">
        <v>966</v>
      </c>
      <c r="C3" s="65" t="s">
        <v>123</v>
      </c>
      <c r="D3" s="65" t="s">
        <v>97</v>
      </c>
      <c r="E3" s="61">
        <v>45834</v>
      </c>
    </row>
    <row r="4" spans="1:5" x14ac:dyDescent="0.2">
      <c r="A4" s="65" t="s">
        <v>965</v>
      </c>
      <c r="B4" s="65" t="s">
        <v>972</v>
      </c>
      <c r="C4" s="65" t="s">
        <v>123</v>
      </c>
      <c r="D4" s="65" t="s">
        <v>97</v>
      </c>
      <c r="E4" s="61">
        <v>45834</v>
      </c>
    </row>
    <row r="5" spans="1:5" x14ac:dyDescent="0.2">
      <c r="A5" s="65" t="s">
        <v>317</v>
      </c>
      <c r="B5" s="65" t="s">
        <v>967</v>
      </c>
      <c r="C5" s="65" t="s">
        <v>123</v>
      </c>
      <c r="D5" s="65" t="s">
        <v>968</v>
      </c>
      <c r="E5" s="72">
        <v>45834</v>
      </c>
    </row>
    <row r="6" spans="1:5" x14ac:dyDescent="0.2">
      <c r="A6" s="65" t="s">
        <v>317</v>
      </c>
      <c r="B6" s="65" t="s">
        <v>969</v>
      </c>
      <c r="C6" s="65" t="s">
        <v>123</v>
      </c>
      <c r="D6" s="65" t="s">
        <v>97</v>
      </c>
      <c r="E6" s="61">
        <v>45834</v>
      </c>
    </row>
    <row r="7" spans="1:5" x14ac:dyDescent="0.2">
      <c r="A7" s="65" t="s">
        <v>317</v>
      </c>
      <c r="B7" s="65" t="s">
        <v>970</v>
      </c>
      <c r="C7" s="65" t="s">
        <v>123</v>
      </c>
      <c r="D7" s="65" t="s">
        <v>97</v>
      </c>
      <c r="E7" s="72">
        <v>45834</v>
      </c>
    </row>
    <row r="8" spans="1:5" x14ac:dyDescent="0.2">
      <c r="A8" s="65" t="s">
        <v>317</v>
      </c>
      <c r="B8" s="65" t="s">
        <v>971</v>
      </c>
      <c r="C8" s="65" t="s">
        <v>123</v>
      </c>
      <c r="D8" s="65" t="s">
        <v>97</v>
      </c>
      <c r="E8" s="61">
        <v>45838</v>
      </c>
    </row>
    <row r="9" spans="1:5" x14ac:dyDescent="0.2">
      <c r="A9" s="65" t="s">
        <v>965</v>
      </c>
      <c r="B9" s="65" t="s">
        <v>975</v>
      </c>
      <c r="C9" s="65" t="s">
        <v>123</v>
      </c>
      <c r="D9" s="65" t="s">
        <v>97</v>
      </c>
      <c r="E9" s="61">
        <v>45838</v>
      </c>
    </row>
    <row r="10" spans="1:5" x14ac:dyDescent="0.2">
      <c r="A10" s="65" t="s">
        <v>978</v>
      </c>
      <c r="B10" s="65" t="s">
        <v>979</v>
      </c>
      <c r="C10" s="65" t="s">
        <v>123</v>
      </c>
      <c r="D10" s="65" t="s">
        <v>97</v>
      </c>
      <c r="E10" s="61">
        <v>45840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E62"/>
  <sheetViews>
    <sheetView workbookViewId="0">
      <selection activeCell="J16" sqref="J16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5" s="4" customFormat="1" x14ac:dyDescent="0.2">
      <c r="B1" s="4" t="s">
        <v>229</v>
      </c>
      <c r="C1" s="4" t="s">
        <v>230</v>
      </c>
      <c r="D1" s="21" t="s">
        <v>231</v>
      </c>
    </row>
    <row r="2" spans="1:5" x14ac:dyDescent="0.2">
      <c r="A2" t="s">
        <v>205</v>
      </c>
      <c r="B2" t="s">
        <v>290</v>
      </c>
      <c r="C2">
        <v>0</v>
      </c>
      <c r="D2" s="67" t="str">
        <f>IF(Akauswahl=1,"ja",IF(Akauswahl=2,"nein", " "))</f>
        <v xml:space="preserve"> </v>
      </c>
    </row>
    <row r="3" spans="1:5" x14ac:dyDescent="0.2">
      <c r="A3" t="s">
        <v>206</v>
      </c>
      <c r="B3" t="s">
        <v>290</v>
      </c>
      <c r="C3">
        <v>0</v>
      </c>
      <c r="D3" s="67" t="str">
        <f>IF(edwdAuswahl=1, "ed", IF(edwdAuswahl=2,"wd", " "))</f>
        <v xml:space="preserve"> </v>
      </c>
    </row>
    <row r="4" spans="1:5" x14ac:dyDescent="0.2">
      <c r="A4" t="s">
        <v>314</v>
      </c>
      <c r="B4" t="s">
        <v>290</v>
      </c>
      <c r="C4">
        <v>0</v>
      </c>
      <c r="D4" s="67" t="str">
        <f>IF(TNrlpauswahl=1, "ja",IF(TNrlpauswahl=2,"nein", " "))</f>
        <v xml:space="preserve"> </v>
      </c>
    </row>
    <row r="5" spans="1:5" x14ac:dyDescent="0.2">
      <c r="A5" t="s">
        <v>232</v>
      </c>
      <c r="B5" t="s">
        <v>291</v>
      </c>
      <c r="C5">
        <v>1</v>
      </c>
      <c r="D5" s="67" t="str">
        <f ca="1">INDEX(INDIRECT($A5),$C5,1)</f>
        <v>Bitte auswählen</v>
      </c>
      <c r="E5" s="17">
        <f ca="1">INDEX(INDIRECT($A5),$C5,2)</f>
        <v>0</v>
      </c>
    </row>
    <row r="6" spans="1:5" x14ac:dyDescent="0.2">
      <c r="A6" t="s">
        <v>233</v>
      </c>
      <c r="B6" t="s">
        <v>291</v>
      </c>
      <c r="C6">
        <v>4</v>
      </c>
      <c r="D6" s="2">
        <f ca="1">INDEX(INDIRECT(A6),C6)</f>
        <v>0</v>
      </c>
      <c r="E6" t="str">
        <f>IF(Pachseauswahl=2,"A",IF(Pachseauswahl=3,"B",IF(Pachseauswahl=4,"C"," ")))</f>
        <v>C</v>
      </c>
    </row>
    <row r="7" spans="1:5" x14ac:dyDescent="0.2">
      <c r="A7" t="s">
        <v>234</v>
      </c>
      <c r="B7" s="65" t="s">
        <v>291</v>
      </c>
      <c r="C7">
        <v>3</v>
      </c>
      <c r="D7" s="2" t="str">
        <f ca="1">INDEX(INDIRECT(A7),C7)</f>
        <v>Bitte auswählen</v>
      </c>
    </row>
    <row r="8" spans="1:5" x14ac:dyDescent="0.2">
      <c r="A8" t="s">
        <v>289</v>
      </c>
      <c r="B8" t="s">
        <v>291</v>
      </c>
      <c r="C8">
        <v>3</v>
      </c>
      <c r="D8" s="2" t="str">
        <f ca="1">INDEX(INDIRECT(A8),C8)</f>
        <v>Erhöhung der Schriftsprachkompetenz</v>
      </c>
      <c r="E8">
        <f>IF(ISERROR(MATCH("Auswahl"&amp;Pachseauswahl&amp;Aktionauswahl,FAnsatzAuswahlen,0)),1,MATCH("Auswahl"&amp;Pachseauswahl&amp;Aktionauswahl,FAnsatzAuswahlen,0)-1)</f>
        <v>13</v>
      </c>
    </row>
    <row r="9" spans="1:5" ht="25.5" x14ac:dyDescent="0.2">
      <c r="A9" t="s">
        <v>235</v>
      </c>
      <c r="B9" t="s">
        <v>291</v>
      </c>
      <c r="C9">
        <v>2</v>
      </c>
      <c r="D9" s="2" t="str">
        <f ca="1">INDEX(INDIRECT(A9),C9)</f>
        <v>Erwerbstätige, Nichterwerbstätige, Arbeitslose</v>
      </c>
    </row>
    <row r="10" spans="1:5" x14ac:dyDescent="0.2">
      <c r="A10" s="65"/>
      <c r="B10" s="65"/>
    </row>
    <row r="11" spans="1:5" x14ac:dyDescent="0.2">
      <c r="A11" s="65" t="s">
        <v>792</v>
      </c>
      <c r="B11" s="65" t="s">
        <v>290</v>
      </c>
      <c r="C11" t="b">
        <v>0</v>
      </c>
      <c r="D11" s="2" t="str">
        <f>IF(chartaauswahl=FALSE,"fehlt", IF(chartaauswahl=TRUE,"vorhanden",""))</f>
        <v>fehlt</v>
      </c>
    </row>
    <row r="12" spans="1:5" x14ac:dyDescent="0.2">
      <c r="A12" t="s">
        <v>161</v>
      </c>
      <c r="B12" t="s">
        <v>291</v>
      </c>
    </row>
    <row r="14" spans="1:5" x14ac:dyDescent="0.2">
      <c r="A14" s="65" t="s">
        <v>802</v>
      </c>
      <c r="B14" t="s">
        <v>290</v>
      </c>
      <c r="C14">
        <v>0</v>
      </c>
      <c r="D14" s="67" t="str">
        <f>IF(Gleichstellungsauswahl=1,"findet Beachtung",IF(Gleichstellungsauswahl=2,"findet keine Beachtung",IF(Gleichstellungsauswahl=3,"keine Relevanz"," " )))</f>
        <v xml:space="preserve"> </v>
      </c>
    </row>
    <row r="15" spans="1:5" x14ac:dyDescent="0.2">
      <c r="A15" s="65" t="s">
        <v>803</v>
      </c>
      <c r="B15" t="s">
        <v>290</v>
      </c>
      <c r="C15">
        <v>0</v>
      </c>
      <c r="D15" s="67" t="e" cm="1">
        <f t="array" ref="D15">IF(Nichtdiskriminierungsauswahl=1,"findet Beachtung",IF(Nichtdiskriminierungsauswahl=2,"findet keine Beachtung",IF(Nachhaltigoekoauswahl=3,"keine Relevanz", " ")))</f>
        <v>#NAME?</v>
      </c>
    </row>
    <row r="16" spans="1:5" x14ac:dyDescent="0.2">
      <c r="A16" s="65" t="s">
        <v>300</v>
      </c>
      <c r="B16" t="s">
        <v>290</v>
      </c>
      <c r="C16">
        <v>0</v>
      </c>
      <c r="D16" s="67" t="str">
        <f>IF(Transnationalauswahl=1,"findet Beachtung",IF(Transnationalauswahl=2,"findet keine Beachtung",IF(Transnationalauswahl=3,"keine Relevanz", " ")))</f>
        <v xml:space="preserve"> </v>
      </c>
    </row>
    <row r="17" spans="1:4" x14ac:dyDescent="0.2">
      <c r="A17" s="65" t="s">
        <v>804</v>
      </c>
      <c r="B17" t="s">
        <v>290</v>
      </c>
      <c r="C17">
        <v>0</v>
      </c>
      <c r="D17" s="67" t="str">
        <f>IF(Nachhaltigkeitauswahl=1,"findet Beachtung",IF(Nachhaltigkeitauswahl=2,"findet keine Beachtung",IF(Nachhaltigkeitauswahl=3,"keine Relevanz", " ")))</f>
        <v xml:space="preserve"> </v>
      </c>
    </row>
    <row r="18" spans="1:4" x14ac:dyDescent="0.2">
      <c r="D18" s="67"/>
    </row>
    <row r="20" spans="1:4" x14ac:dyDescent="0.2">
      <c r="A20" t="s">
        <v>315</v>
      </c>
      <c r="B20" t="s">
        <v>290</v>
      </c>
      <c r="C20">
        <v>0</v>
      </c>
      <c r="D20" s="2" t="str">
        <f>IF(Entschuldung = 1, "Durchführung von Maßnahmen zur Entschuldung.", IF(Entschuldung=2,"keine Durchführung von Maßnahmen zur Entschuldung", " "))</f>
        <v xml:space="preserve"> </v>
      </c>
    </row>
    <row r="21" spans="1:4" x14ac:dyDescent="0.2">
      <c r="A21" t="s">
        <v>316</v>
      </c>
      <c r="B21" t="s">
        <v>290</v>
      </c>
      <c r="C21">
        <v>0</v>
      </c>
      <c r="D21" s="2" t="str">
        <f>IF(EuropaIch = 1, "Durchführung des Moduls Europa und Ich.", IF(EuropaIch=2,"keine Durchführung des Moduls Europa und Ich", " " ))</f>
        <v xml:space="preserve"> </v>
      </c>
    </row>
    <row r="24" spans="1:4" x14ac:dyDescent="0.2">
      <c r="A24" s="4" t="s">
        <v>317</v>
      </c>
    </row>
    <row r="25" spans="1:4" x14ac:dyDescent="0.2">
      <c r="A25" t="s">
        <v>318</v>
      </c>
      <c r="B25" t="s">
        <v>290</v>
      </c>
      <c r="C25">
        <v>0</v>
      </c>
    </row>
    <row r="26" spans="1:4" x14ac:dyDescent="0.2">
      <c r="A26" t="s">
        <v>323</v>
      </c>
      <c r="B26" t="s">
        <v>290</v>
      </c>
      <c r="C26">
        <v>0</v>
      </c>
    </row>
    <row r="27" spans="1:4" x14ac:dyDescent="0.2">
      <c r="A27" t="s">
        <v>324</v>
      </c>
      <c r="B27" t="s">
        <v>290</v>
      </c>
      <c r="C27">
        <v>0</v>
      </c>
    </row>
    <row r="29" spans="1:4" x14ac:dyDescent="0.2">
      <c r="A29" t="s">
        <v>40</v>
      </c>
      <c r="B29" s="37">
        <f>(DATEDIF(Beginn,Ende,"M")+1)</f>
        <v>1</v>
      </c>
    </row>
    <row r="31" spans="1:4" x14ac:dyDescent="0.2">
      <c r="A31" t="s">
        <v>233</v>
      </c>
      <c r="B31" t="s">
        <v>290</v>
      </c>
      <c r="C31">
        <v>1</v>
      </c>
      <c r="D31" s="2" t="str">
        <f ca="1">INDEX(INDIRECT(A31), C31)</f>
        <v>Bitte auswählen</v>
      </c>
    </row>
    <row r="32" spans="1:4" ht="38.25" x14ac:dyDescent="0.2">
      <c r="A32" t="s">
        <v>538</v>
      </c>
      <c r="B32" t="s">
        <v>290</v>
      </c>
      <c r="C32">
        <v>2</v>
      </c>
      <c r="D32" s="2" t="str">
        <f ca="1">INDEX(INDIRECT(A32), C32)</f>
        <v>ESO 4.6 Förderung des gleichberechtigten Zugangs zu hochwertiger und inklusiver allgemeiner und beruflicher Bildung</v>
      </c>
    </row>
    <row r="33" spans="1:4" x14ac:dyDescent="0.2">
      <c r="A33" t="s">
        <v>539</v>
      </c>
      <c r="B33" t="s">
        <v>290</v>
      </c>
      <c r="C33">
        <v>1</v>
      </c>
      <c r="D33" s="2">
        <f ca="1">INDEX(INDIRECT(A33), C33)</f>
        <v>0</v>
      </c>
    </row>
    <row r="35" spans="1:4" x14ac:dyDescent="0.2">
      <c r="A35" s="65" t="s">
        <v>583</v>
      </c>
      <c r="B35" s="65" t="s">
        <v>291</v>
      </c>
      <c r="C35" s="65">
        <v>1</v>
      </c>
    </row>
    <row r="38" spans="1:4" x14ac:dyDescent="0.2">
      <c r="A38" s="135" t="s">
        <v>865</v>
      </c>
      <c r="B38" s="65" t="s">
        <v>290</v>
      </c>
      <c r="C38" t="b">
        <v>0</v>
      </c>
      <c r="D38" s="2" t="str">
        <f>IF(Doplfoeauswahl=FALSE,"fehlt", IF(Doplfoeauswahl=TRUE,"vorhanden",""))</f>
        <v>fehlt</v>
      </c>
    </row>
    <row r="41" spans="1:4" x14ac:dyDescent="0.2">
      <c r="A41" s="65" t="s">
        <v>924</v>
      </c>
      <c r="C41" s="65" t="s">
        <v>903</v>
      </c>
    </row>
    <row r="42" spans="1:4" x14ac:dyDescent="0.2">
      <c r="A42" s="65" t="s">
        <v>925</v>
      </c>
      <c r="C42" s="65" t="s">
        <v>923</v>
      </c>
    </row>
    <row r="43" spans="1:4" x14ac:dyDescent="0.2">
      <c r="A43" s="65" t="s">
        <v>926</v>
      </c>
    </row>
    <row r="44" spans="1:4" x14ac:dyDescent="0.2">
      <c r="A44" s="65" t="s">
        <v>927</v>
      </c>
    </row>
    <row r="46" spans="1:4" x14ac:dyDescent="0.2">
      <c r="C46" s="6" t="s">
        <v>932</v>
      </c>
    </row>
    <row r="47" spans="1:4" x14ac:dyDescent="0.2">
      <c r="A47" s="65" t="s">
        <v>924</v>
      </c>
      <c r="C47" s="5"/>
    </row>
    <row r="48" spans="1:4" x14ac:dyDescent="0.2">
      <c r="A48" s="65" t="s">
        <v>925</v>
      </c>
      <c r="C48" s="66" t="s">
        <v>123</v>
      </c>
    </row>
    <row r="49" spans="1:3" x14ac:dyDescent="0.2">
      <c r="C49" s="66" t="s">
        <v>933</v>
      </c>
    </row>
    <row r="50" spans="1:3" x14ac:dyDescent="0.2">
      <c r="C50" s="66" t="s">
        <v>934</v>
      </c>
    </row>
    <row r="51" spans="1:3" x14ac:dyDescent="0.2">
      <c r="A51" s="65" t="s">
        <v>928</v>
      </c>
      <c r="C51" s="5"/>
    </row>
    <row r="52" spans="1:3" x14ac:dyDescent="0.2">
      <c r="A52" s="65" t="s">
        <v>929</v>
      </c>
      <c r="C52" s="6" t="s">
        <v>935</v>
      </c>
    </row>
    <row r="53" spans="1:3" x14ac:dyDescent="0.2">
      <c r="A53" s="65" t="s">
        <v>930</v>
      </c>
      <c r="C53" s="5"/>
    </row>
    <row r="54" spans="1:3" x14ac:dyDescent="0.2">
      <c r="A54" s="65" t="s">
        <v>931</v>
      </c>
      <c r="C54" s="66" t="s">
        <v>936</v>
      </c>
    </row>
    <row r="55" spans="1:3" x14ac:dyDescent="0.2">
      <c r="C55" s="66" t="s">
        <v>937</v>
      </c>
    </row>
    <row r="56" spans="1:3" x14ac:dyDescent="0.2">
      <c r="C56" s="66" t="s">
        <v>938</v>
      </c>
    </row>
    <row r="59" spans="1:3" x14ac:dyDescent="0.2">
      <c r="A59" s="65" t="s">
        <v>919</v>
      </c>
    </row>
    <row r="60" spans="1:3" x14ac:dyDescent="0.2">
      <c r="A60" s="65" t="s">
        <v>920</v>
      </c>
    </row>
    <row r="61" spans="1:3" x14ac:dyDescent="0.2">
      <c r="A61" s="65" t="s">
        <v>921</v>
      </c>
    </row>
    <row r="62" spans="1:3" x14ac:dyDescent="0.2">
      <c r="A62" s="65" t="s">
        <v>922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sqref="A1:B4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64" t="s">
        <v>716</v>
      </c>
      <c r="B1" s="65" t="s">
        <v>713</v>
      </c>
    </row>
    <row r="2" spans="1:2" x14ac:dyDescent="0.2">
      <c r="A2" s="64" t="s">
        <v>715</v>
      </c>
      <c r="B2" s="65" t="s">
        <v>714</v>
      </c>
    </row>
    <row r="3" spans="1:2" x14ac:dyDescent="0.2">
      <c r="A3" s="17"/>
    </row>
    <row r="4" spans="1:2" x14ac:dyDescent="0.2">
      <c r="A4" s="17" t="s">
        <v>97</v>
      </c>
      <c r="B4" t="s">
        <v>480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32E1-1F07-4158-A444-FD6AE9C72C2E}">
  <dimension ref="A3:A36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815</v>
      </c>
    </row>
    <row r="4" spans="1:1" x14ac:dyDescent="0.2">
      <c r="A4" t="s">
        <v>816</v>
      </c>
    </row>
    <row r="5" spans="1:1" x14ac:dyDescent="0.2">
      <c r="A5" t="s">
        <v>817</v>
      </c>
    </row>
    <row r="6" spans="1:1" x14ac:dyDescent="0.2">
      <c r="A6" t="s">
        <v>818</v>
      </c>
    </row>
    <row r="7" spans="1:1" x14ac:dyDescent="0.2">
      <c r="A7" t="s">
        <v>819</v>
      </c>
    </row>
    <row r="8" spans="1:1" x14ac:dyDescent="0.2">
      <c r="A8" t="s">
        <v>820</v>
      </c>
    </row>
    <row r="9" spans="1:1" x14ac:dyDescent="0.2">
      <c r="A9" t="s">
        <v>821</v>
      </c>
    </row>
    <row r="10" spans="1:1" x14ac:dyDescent="0.2">
      <c r="A10" t="s">
        <v>822</v>
      </c>
    </row>
    <row r="11" spans="1:1" x14ac:dyDescent="0.2">
      <c r="A11" t="s">
        <v>823</v>
      </c>
    </row>
    <row r="12" spans="1:1" x14ac:dyDescent="0.2">
      <c r="A12" t="s">
        <v>824</v>
      </c>
    </row>
    <row r="13" spans="1:1" x14ac:dyDescent="0.2">
      <c r="A13" t="s">
        <v>825</v>
      </c>
    </row>
    <row r="14" spans="1:1" x14ac:dyDescent="0.2">
      <c r="A14" t="s">
        <v>826</v>
      </c>
    </row>
    <row r="15" spans="1:1" x14ac:dyDescent="0.2">
      <c r="A15" t="s">
        <v>827</v>
      </c>
    </row>
    <row r="16" spans="1:1" x14ac:dyDescent="0.2">
      <c r="A16" t="s">
        <v>828</v>
      </c>
    </row>
    <row r="17" spans="1:1" x14ac:dyDescent="0.2">
      <c r="A17" t="s">
        <v>829</v>
      </c>
    </row>
    <row r="18" spans="1:1" x14ac:dyDescent="0.2">
      <c r="A18" t="s">
        <v>830</v>
      </c>
    </row>
    <row r="19" spans="1:1" x14ac:dyDescent="0.2">
      <c r="A19" t="s">
        <v>831</v>
      </c>
    </row>
    <row r="20" spans="1:1" x14ac:dyDescent="0.2">
      <c r="A20" t="s">
        <v>832</v>
      </c>
    </row>
    <row r="21" spans="1:1" x14ac:dyDescent="0.2">
      <c r="A21" t="s">
        <v>833</v>
      </c>
    </row>
    <row r="22" spans="1:1" x14ac:dyDescent="0.2">
      <c r="A22" t="s">
        <v>834</v>
      </c>
    </row>
    <row r="23" spans="1:1" x14ac:dyDescent="0.2">
      <c r="A23" t="s">
        <v>835</v>
      </c>
    </row>
    <row r="24" spans="1:1" x14ac:dyDescent="0.2">
      <c r="A24" t="s">
        <v>836</v>
      </c>
    </row>
    <row r="25" spans="1:1" x14ac:dyDescent="0.2">
      <c r="A25" t="s">
        <v>837</v>
      </c>
    </row>
    <row r="26" spans="1:1" x14ac:dyDescent="0.2">
      <c r="A26" t="s">
        <v>838</v>
      </c>
    </row>
    <row r="27" spans="1:1" x14ac:dyDescent="0.2">
      <c r="A27" t="s">
        <v>839</v>
      </c>
    </row>
    <row r="28" spans="1:1" x14ac:dyDescent="0.2">
      <c r="A28" t="s">
        <v>840</v>
      </c>
    </row>
    <row r="29" spans="1:1" x14ac:dyDescent="0.2">
      <c r="A29" t="s">
        <v>841</v>
      </c>
    </row>
    <row r="30" spans="1:1" x14ac:dyDescent="0.2">
      <c r="A30" t="s">
        <v>842</v>
      </c>
    </row>
    <row r="31" spans="1:1" x14ac:dyDescent="0.2">
      <c r="A31" t="s">
        <v>843</v>
      </c>
    </row>
    <row r="32" spans="1:1" x14ac:dyDescent="0.2">
      <c r="A32" s="65" t="s">
        <v>974</v>
      </c>
    </row>
    <row r="33" spans="1:1" x14ac:dyDescent="0.2">
      <c r="A33" t="s">
        <v>844</v>
      </c>
    </row>
    <row r="34" spans="1:1" x14ac:dyDescent="0.2">
      <c r="A34" t="s">
        <v>845</v>
      </c>
    </row>
    <row r="35" spans="1:1" x14ac:dyDescent="0.2">
      <c r="A35" t="s">
        <v>846</v>
      </c>
    </row>
    <row r="36" spans="1:1" x14ac:dyDescent="0.2">
      <c r="A36" t="s">
        <v>847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topLeftCell="A4" workbookViewId="0">
      <selection activeCell="A2" sqref="A2"/>
    </sheetView>
  </sheetViews>
  <sheetFormatPr baseColWidth="10" defaultRowHeight="12.75" x14ac:dyDescent="0.2"/>
  <cols>
    <col min="1" max="1" width="24.7109375" bestFit="1" customWidth="1"/>
    <col min="2" max="2" width="11.42578125" style="17" customWidth="1"/>
  </cols>
  <sheetData>
    <row r="1" spans="1:2" x14ac:dyDescent="0.2">
      <c r="A1" s="5" t="s">
        <v>578</v>
      </c>
    </row>
    <row r="2" spans="1:2" x14ac:dyDescent="0.2">
      <c r="A2" s="66" t="s">
        <v>848</v>
      </c>
      <c r="B2" s="64" t="s">
        <v>97</v>
      </c>
    </row>
    <row r="3" spans="1:2" x14ac:dyDescent="0.2">
      <c r="A3" s="66" t="s">
        <v>849</v>
      </c>
      <c r="B3" s="64" t="s">
        <v>97</v>
      </c>
    </row>
    <row r="4" spans="1:2" x14ac:dyDescent="0.2">
      <c r="A4" s="66" t="s">
        <v>850</v>
      </c>
      <c r="B4" s="64" t="s">
        <v>97</v>
      </c>
    </row>
    <row r="5" spans="1:2" x14ac:dyDescent="0.2">
      <c r="A5" s="7" t="s">
        <v>851</v>
      </c>
      <c r="B5" s="64" t="s">
        <v>97</v>
      </c>
    </row>
    <row r="6" spans="1:2" x14ac:dyDescent="0.2">
      <c r="A6" s="7" t="s">
        <v>75</v>
      </c>
      <c r="B6" s="64" t="s">
        <v>97</v>
      </c>
    </row>
    <row r="7" spans="1:2" x14ac:dyDescent="0.2">
      <c r="A7" s="7" t="s">
        <v>98</v>
      </c>
      <c r="B7" s="64" t="s">
        <v>97</v>
      </c>
    </row>
    <row r="8" spans="1:2" x14ac:dyDescent="0.2">
      <c r="A8" s="7" t="s">
        <v>61</v>
      </c>
      <c r="B8" s="64" t="s">
        <v>97</v>
      </c>
    </row>
    <row r="9" spans="1:2" x14ac:dyDescent="0.2">
      <c r="A9" s="7" t="s">
        <v>62</v>
      </c>
      <c r="B9" s="64" t="s">
        <v>97</v>
      </c>
    </row>
    <row r="10" spans="1:2" x14ac:dyDescent="0.2">
      <c r="A10" s="7" t="s">
        <v>76</v>
      </c>
      <c r="B10" s="17" t="s">
        <v>97</v>
      </c>
    </row>
    <row r="11" spans="1:2" x14ac:dyDescent="0.2">
      <c r="A11" s="7" t="s">
        <v>56</v>
      </c>
      <c r="B11" s="64" t="s">
        <v>97</v>
      </c>
    </row>
    <row r="12" spans="1:2" x14ac:dyDescent="0.2">
      <c r="A12" s="7" t="s">
        <v>77</v>
      </c>
      <c r="B12" s="17" t="s">
        <v>97</v>
      </c>
    </row>
    <row r="13" spans="1:2" x14ac:dyDescent="0.2">
      <c r="A13" s="7" t="s">
        <v>53</v>
      </c>
      <c r="B13" s="17" t="s">
        <v>97</v>
      </c>
    </row>
    <row r="14" spans="1:2" x14ac:dyDescent="0.2">
      <c r="A14" s="7" t="s">
        <v>78</v>
      </c>
      <c r="B14" s="64" t="s">
        <v>97</v>
      </c>
    </row>
    <row r="15" spans="1:2" x14ac:dyDescent="0.2">
      <c r="A15" s="7" t="s">
        <v>63</v>
      </c>
      <c r="B15" s="17" t="s">
        <v>97</v>
      </c>
    </row>
    <row r="16" spans="1:2" x14ac:dyDescent="0.2">
      <c r="A16" s="7" t="s">
        <v>64</v>
      </c>
      <c r="B16" s="17" t="s">
        <v>97</v>
      </c>
    </row>
    <row r="17" spans="1:2" x14ac:dyDescent="0.2">
      <c r="A17" s="7" t="s">
        <v>65</v>
      </c>
      <c r="B17" s="64" t="s">
        <v>97</v>
      </c>
    </row>
    <row r="18" spans="1:2" x14ac:dyDescent="0.2">
      <c r="A18" s="7" t="s">
        <v>66</v>
      </c>
      <c r="B18" s="64" t="s">
        <v>97</v>
      </c>
    </row>
    <row r="19" spans="1:2" x14ac:dyDescent="0.2">
      <c r="A19" s="7" t="s">
        <v>54</v>
      </c>
      <c r="B19" s="64" t="s">
        <v>97</v>
      </c>
    </row>
    <row r="20" spans="1:2" x14ac:dyDescent="0.2">
      <c r="A20" s="7" t="s">
        <v>79</v>
      </c>
      <c r="B20" s="64" t="s">
        <v>97</v>
      </c>
    </row>
    <row r="21" spans="1:2" x14ac:dyDescent="0.2">
      <c r="A21" s="7" t="s">
        <v>68</v>
      </c>
      <c r="B21" s="64" t="s">
        <v>97</v>
      </c>
    </row>
    <row r="22" spans="1:2" x14ac:dyDescent="0.2">
      <c r="A22" s="7" t="s">
        <v>57</v>
      </c>
      <c r="B22" s="64" t="s">
        <v>97</v>
      </c>
    </row>
    <row r="23" spans="1:2" x14ac:dyDescent="0.2">
      <c r="A23" s="7" t="s">
        <v>100</v>
      </c>
      <c r="B23" s="64" t="s">
        <v>97</v>
      </c>
    </row>
    <row r="24" spans="1:2" x14ac:dyDescent="0.2">
      <c r="A24" s="7" t="s">
        <v>101</v>
      </c>
      <c r="B24" s="17" t="s">
        <v>97</v>
      </c>
    </row>
    <row r="25" spans="1:2" x14ac:dyDescent="0.2">
      <c r="A25" s="5" t="s">
        <v>99</v>
      </c>
      <c r="B25" s="17" t="s">
        <v>97</v>
      </c>
    </row>
    <row r="26" spans="1:2" x14ac:dyDescent="0.2">
      <c r="A26" s="7" t="s">
        <v>102</v>
      </c>
      <c r="B26" s="17" t="s">
        <v>97</v>
      </c>
    </row>
    <row r="27" spans="1:2" x14ac:dyDescent="0.2">
      <c r="A27" s="7" t="s">
        <v>58</v>
      </c>
      <c r="B27" s="64" t="s">
        <v>97</v>
      </c>
    </row>
    <row r="28" spans="1:2" x14ac:dyDescent="0.2">
      <c r="A28" s="7" t="s">
        <v>67</v>
      </c>
      <c r="B28" s="64" t="s">
        <v>97</v>
      </c>
    </row>
    <row r="29" spans="1:2" x14ac:dyDescent="0.2">
      <c r="A29" s="7" t="s">
        <v>80</v>
      </c>
      <c r="B29" s="64" t="s">
        <v>97</v>
      </c>
    </row>
    <row r="30" spans="1:2" x14ac:dyDescent="0.2">
      <c r="A30" s="7" t="s">
        <v>81</v>
      </c>
      <c r="B30" s="64" t="s">
        <v>97</v>
      </c>
    </row>
    <row r="31" spans="1:2" x14ac:dyDescent="0.2">
      <c r="A31" s="7" t="s">
        <v>86</v>
      </c>
      <c r="B31" s="64" t="s">
        <v>97</v>
      </c>
    </row>
    <row r="32" spans="1:2" x14ac:dyDescent="0.2">
      <c r="A32" s="8" t="s">
        <v>83</v>
      </c>
      <c r="B32" s="64" t="s">
        <v>97</v>
      </c>
    </row>
    <row r="33" spans="1:2" x14ac:dyDescent="0.2">
      <c r="A33" s="7" t="s">
        <v>52</v>
      </c>
      <c r="B33" s="64" t="s">
        <v>97</v>
      </c>
    </row>
    <row r="34" spans="1:2" x14ac:dyDescent="0.2">
      <c r="A34" s="7" t="s">
        <v>59</v>
      </c>
      <c r="B34" s="64" t="s">
        <v>97</v>
      </c>
    </row>
    <row r="35" spans="1:2" x14ac:dyDescent="0.2">
      <c r="A35" s="7" t="s">
        <v>55</v>
      </c>
      <c r="B35" s="17" t="s">
        <v>97</v>
      </c>
    </row>
    <row r="36" spans="1:2" x14ac:dyDescent="0.2">
      <c r="A36" s="7" t="s">
        <v>60</v>
      </c>
      <c r="B36" s="64" t="s">
        <v>97</v>
      </c>
    </row>
    <row r="37" spans="1:2" x14ac:dyDescent="0.2">
      <c r="A37" s="7" t="s">
        <v>82</v>
      </c>
      <c r="B37" s="17" t="s">
        <v>97</v>
      </c>
    </row>
    <row r="38" spans="1:2" x14ac:dyDescent="0.2">
      <c r="A38" s="7" t="s">
        <v>723</v>
      </c>
      <c r="B38" s="64" t="s">
        <v>97</v>
      </c>
    </row>
    <row r="39" spans="1:2" x14ac:dyDescent="0.2">
      <c r="A39" s="7" t="s">
        <v>812</v>
      </c>
      <c r="B39" s="17" t="s">
        <v>97</v>
      </c>
    </row>
  </sheetData>
  <autoFilter ref="A2:B39" xr:uid="{00000000-0009-0000-0000-000007000000}"/>
  <sortState xmlns:xlrd2="http://schemas.microsoft.com/office/spreadsheetml/2017/richdata2" ref="A5:A39">
    <sortCondition ref="A5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19" type="noConversion"/>
  <printOptions heading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5"/>
  <sheetViews>
    <sheetView workbookViewId="0">
      <selection activeCell="A5" sqref="A5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227</v>
      </c>
    </row>
    <row r="2" spans="1:1" x14ac:dyDescent="0.2">
      <c r="A2" t="s">
        <v>578</v>
      </c>
    </row>
    <row r="3" spans="1:1" x14ac:dyDescent="0.2">
      <c r="A3" s="65" t="s">
        <v>578</v>
      </c>
    </row>
    <row r="4" spans="1:1" x14ac:dyDescent="0.2">
      <c r="A4" s="65" t="s">
        <v>578</v>
      </c>
    </row>
    <row r="5" spans="1:1" x14ac:dyDescent="0.2">
      <c r="A5" s="65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G4" sqref="G4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228</v>
      </c>
      <c r="B1" s="4" t="s">
        <v>222</v>
      </c>
      <c r="C1" s="4" t="s">
        <v>223</v>
      </c>
      <c r="D1" s="4" t="s">
        <v>224</v>
      </c>
      <c r="E1" s="4" t="s">
        <v>225</v>
      </c>
      <c r="F1" s="4" t="s">
        <v>537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226</v>
      </c>
      <c r="F2" s="3" t="s">
        <v>578</v>
      </c>
    </row>
    <row r="3" spans="1:6" x14ac:dyDescent="0.2">
      <c r="A3" t="str">
        <f t="shared" ca="1" si="0"/>
        <v>Bitte auswählen</v>
      </c>
      <c r="B3" t="s">
        <v>226</v>
      </c>
      <c r="C3" s="66" t="s">
        <v>808</v>
      </c>
      <c r="D3" s="65"/>
      <c r="E3" s="65"/>
      <c r="F3" s="99" t="s">
        <v>854</v>
      </c>
    </row>
    <row r="4" spans="1:6" x14ac:dyDescent="0.2">
      <c r="A4" t="str">
        <f t="shared" ca="1" si="0"/>
        <v>Bitte auswählen</v>
      </c>
      <c r="B4" t="s">
        <v>226</v>
      </c>
      <c r="C4" s="66"/>
      <c r="D4" s="66"/>
      <c r="E4" s="66"/>
      <c r="F4" s="99" t="s">
        <v>808</v>
      </c>
    </row>
    <row r="5" spans="1:6" x14ac:dyDescent="0.2">
      <c r="A5" t="str">
        <f t="shared" ca="1" si="0"/>
        <v>Bitte auswählen</v>
      </c>
      <c r="C5" s="9"/>
      <c r="D5" s="9"/>
      <c r="E5" s="65"/>
      <c r="F5" s="99" t="s">
        <v>855</v>
      </c>
    </row>
    <row r="6" spans="1:6" x14ac:dyDescent="0.2">
      <c r="A6" t="str">
        <f t="shared" ca="1" si="0"/>
        <v>Bitte auswählen</v>
      </c>
      <c r="C6" s="9"/>
      <c r="D6" s="9"/>
      <c r="E6" s="65"/>
      <c r="F6" s="66"/>
    </row>
    <row r="7" spans="1:6" x14ac:dyDescent="0.2">
      <c r="A7" t="str">
        <f t="shared" ca="1" si="0"/>
        <v>Bitte auswählen</v>
      </c>
      <c r="C7" s="9"/>
      <c r="D7" s="9"/>
    </row>
    <row r="8" spans="1:6" x14ac:dyDescent="0.2">
      <c r="F8" s="66"/>
    </row>
    <row r="9" spans="1:6" x14ac:dyDescent="0.2">
      <c r="F9" s="66"/>
    </row>
    <row r="10" spans="1:6" x14ac:dyDescent="0.2">
      <c r="F10" s="9"/>
    </row>
    <row r="11" spans="1:6" x14ac:dyDescent="0.2">
      <c r="F11" s="9"/>
    </row>
    <row r="14" spans="1:6" x14ac:dyDescent="0.2">
      <c r="F14" s="65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36"/>
  <sheetViews>
    <sheetView workbookViewId="0">
      <selection activeCell="N13" sqref="N13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221</v>
      </c>
      <c r="B1" s="4" t="s">
        <v>534</v>
      </c>
      <c r="C1" s="4" t="s">
        <v>521</v>
      </c>
      <c r="D1" s="4" t="s">
        <v>522</v>
      </c>
      <c r="E1" s="4" t="s">
        <v>523</v>
      </c>
      <c r="F1" s="4" t="s">
        <v>524</v>
      </c>
      <c r="G1" s="4" t="s">
        <v>525</v>
      </c>
      <c r="H1" s="4" t="s">
        <v>526</v>
      </c>
      <c r="I1" s="4" t="s">
        <v>527</v>
      </c>
      <c r="J1" s="4" t="s">
        <v>528</v>
      </c>
      <c r="K1" s="4" t="s">
        <v>529</v>
      </c>
      <c r="L1" s="4" t="s">
        <v>530</v>
      </c>
      <c r="M1" s="4" t="s">
        <v>531</v>
      </c>
      <c r="N1" s="4" t="s">
        <v>532</v>
      </c>
      <c r="O1" s="4" t="s">
        <v>533</v>
      </c>
      <c r="P1" s="4" t="s">
        <v>604</v>
      </c>
      <c r="Q1" s="4" t="s">
        <v>537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t="s">
        <v>226</v>
      </c>
      <c r="Q2" t="s">
        <v>578</v>
      </c>
    </row>
    <row r="3" spans="1:20" x14ac:dyDescent="0.2">
      <c r="A3" t="str">
        <f t="shared" ca="1" si="0"/>
        <v>Bitte auswählen</v>
      </c>
      <c r="B3" t="s">
        <v>226</v>
      </c>
      <c r="C3" s="65" t="s">
        <v>584</v>
      </c>
      <c r="D3" s="65"/>
      <c r="H3" s="65"/>
      <c r="I3" s="66" t="s">
        <v>588</v>
      </c>
      <c r="J3" s="65"/>
      <c r="L3" s="5"/>
      <c r="N3" s="65"/>
      <c r="O3" s="65"/>
      <c r="P3" s="65"/>
      <c r="Q3" t="s">
        <v>751</v>
      </c>
      <c r="S3" s="5"/>
    </row>
    <row r="4" spans="1:20" x14ac:dyDescent="0.2">
      <c r="A4" t="str">
        <f t="shared" ca="1" si="0"/>
        <v>Erhöhung der Schriftsprachkompetenz</v>
      </c>
      <c r="B4" t="s">
        <v>226</v>
      </c>
      <c r="D4" s="65"/>
      <c r="I4" s="66"/>
      <c r="J4" s="5"/>
      <c r="L4" s="5"/>
      <c r="N4" s="65" t="s">
        <v>796</v>
      </c>
      <c r="O4" s="65"/>
      <c r="P4" s="65"/>
      <c r="Q4" t="s">
        <v>752</v>
      </c>
      <c r="S4" s="5"/>
    </row>
    <row r="5" spans="1:20" x14ac:dyDescent="0.2">
      <c r="A5" t="str">
        <f t="shared" ca="1" si="0"/>
        <v>Bitte auswählen</v>
      </c>
      <c r="B5" t="s">
        <v>226</v>
      </c>
      <c r="D5" s="65"/>
      <c r="J5" s="66"/>
      <c r="K5" s="5"/>
      <c r="L5" s="5"/>
      <c r="O5" s="65"/>
      <c r="Q5" t="s">
        <v>753</v>
      </c>
      <c r="T5" s="5"/>
    </row>
    <row r="6" spans="1:20" x14ac:dyDescent="0.2">
      <c r="A6" t="str">
        <f t="shared" ca="1" si="0"/>
        <v>Bitte auswählen</v>
      </c>
      <c r="B6" t="s">
        <v>226</v>
      </c>
      <c r="I6" s="5"/>
      <c r="J6" s="66"/>
      <c r="K6" s="5"/>
      <c r="L6" s="5"/>
      <c r="N6" s="65"/>
      <c r="P6" s="65"/>
      <c r="Q6" t="s">
        <v>754</v>
      </c>
    </row>
    <row r="7" spans="1:20" x14ac:dyDescent="0.2">
      <c r="A7" t="str">
        <f t="shared" ca="1" si="0"/>
        <v>Bitte auswählen</v>
      </c>
      <c r="B7" t="s">
        <v>226</v>
      </c>
      <c r="I7" s="5"/>
      <c r="K7" s="5"/>
      <c r="L7" s="5"/>
      <c r="M7" s="65"/>
      <c r="N7" s="65"/>
      <c r="O7" s="65"/>
      <c r="Q7" t="s">
        <v>755</v>
      </c>
    </row>
    <row r="8" spans="1:20" x14ac:dyDescent="0.2">
      <c r="I8" s="5"/>
      <c r="K8" s="5"/>
      <c r="L8" s="5"/>
      <c r="M8" s="65"/>
      <c r="N8" s="65"/>
      <c r="Q8" t="s">
        <v>756</v>
      </c>
    </row>
    <row r="9" spans="1:20" x14ac:dyDescent="0.2">
      <c r="Q9" t="s">
        <v>757</v>
      </c>
    </row>
    <row r="10" spans="1:20" x14ac:dyDescent="0.2">
      <c r="Q10" s="65" t="s">
        <v>758</v>
      </c>
    </row>
    <row r="11" spans="1:20" x14ac:dyDescent="0.2">
      <c r="Q11" t="s">
        <v>590</v>
      </c>
    </row>
    <row r="12" spans="1:20" x14ac:dyDescent="0.2">
      <c r="Q12" s="65" t="s">
        <v>759</v>
      </c>
    </row>
    <row r="13" spans="1:20" x14ac:dyDescent="0.2">
      <c r="A13">
        <f>IF(ISERROR(MATCH("Auswahl"&amp;Pachseauswahl&amp;Aktionauswahl,FAnsatzAuswahlen,0)),1,MATCH("Auswahl"&amp;Pachseauswahl&amp;Aktionauswahl,FAnsatzAuswahlen,0)-1)</f>
        <v>13</v>
      </c>
      <c r="Q13" s="65"/>
      <c r="T13" s="5"/>
    </row>
    <row r="14" spans="1:20" x14ac:dyDescent="0.2">
      <c r="Q14" s="5"/>
      <c r="T14" s="5"/>
    </row>
    <row r="15" spans="1:20" x14ac:dyDescent="0.2">
      <c r="Q15" s="66"/>
      <c r="T15" s="5"/>
    </row>
    <row r="16" spans="1:20" x14ac:dyDescent="0.2">
      <c r="Q16" s="65"/>
      <c r="T16" s="5"/>
    </row>
    <row r="17" spans="17:20" x14ac:dyDescent="0.2">
      <c r="Q17" s="65"/>
      <c r="T17" s="5"/>
    </row>
    <row r="18" spans="17:20" x14ac:dyDescent="0.2">
      <c r="Q18" s="65"/>
      <c r="T18" s="5"/>
    </row>
    <row r="19" spans="17:20" x14ac:dyDescent="0.2">
      <c r="Q19" s="65"/>
    </row>
    <row r="20" spans="17:20" x14ac:dyDescent="0.2">
      <c r="T20" s="5"/>
    </row>
    <row r="21" spans="17:20" x14ac:dyDescent="0.2">
      <c r="Q21" s="66"/>
    </row>
    <row r="22" spans="17:20" x14ac:dyDescent="0.2">
      <c r="Q22" s="65" t="s">
        <v>939</v>
      </c>
      <c r="R22" s="65" t="s">
        <v>940</v>
      </c>
    </row>
    <row r="23" spans="17:20" x14ac:dyDescent="0.2">
      <c r="Q23" s="65" t="s">
        <v>941</v>
      </c>
      <c r="R23" s="65" t="s">
        <v>942</v>
      </c>
    </row>
    <row r="24" spans="17:20" x14ac:dyDescent="0.2">
      <c r="Q24" s="65" t="s">
        <v>943</v>
      </c>
      <c r="R24" s="65" t="s">
        <v>944</v>
      </c>
    </row>
    <row r="25" spans="17:20" x14ac:dyDescent="0.2">
      <c r="Q25" s="65" t="s">
        <v>718</v>
      </c>
      <c r="R25" s="65" t="s">
        <v>945</v>
      </c>
    </row>
    <row r="26" spans="17:20" x14ac:dyDescent="0.2">
      <c r="Q26" s="65" t="s">
        <v>946</v>
      </c>
      <c r="R26" s="65" t="s">
        <v>947</v>
      </c>
    </row>
    <row r="27" spans="17:20" x14ac:dyDescent="0.2">
      <c r="Q27" s="65" t="s">
        <v>948</v>
      </c>
      <c r="R27" t="s">
        <v>949</v>
      </c>
    </row>
    <row r="28" spans="17:20" x14ac:dyDescent="0.2">
      <c r="Q28" s="65" t="s">
        <v>950</v>
      </c>
      <c r="R28" s="65" t="s">
        <v>754</v>
      </c>
    </row>
    <row r="29" spans="17:20" x14ac:dyDescent="0.2">
      <c r="Q29" s="65" t="s">
        <v>951</v>
      </c>
      <c r="R29" t="s">
        <v>755</v>
      </c>
    </row>
    <row r="30" spans="17:20" x14ac:dyDescent="0.2">
      <c r="Q30" s="65" t="s">
        <v>756</v>
      </c>
      <c r="R30" s="65" t="s">
        <v>756</v>
      </c>
    </row>
    <row r="31" spans="17:20" x14ac:dyDescent="0.2">
      <c r="Q31" s="65" t="s">
        <v>757</v>
      </c>
      <c r="R31" t="s">
        <v>757</v>
      </c>
    </row>
    <row r="32" spans="17:20" x14ac:dyDescent="0.2">
      <c r="Q32" s="65" t="s">
        <v>952</v>
      </c>
      <c r="R32" t="s">
        <v>953</v>
      </c>
    </row>
    <row r="33" spans="17:18" x14ac:dyDescent="0.2">
      <c r="Q33" s="65" t="s">
        <v>954</v>
      </c>
      <c r="R33" s="65" t="s">
        <v>955</v>
      </c>
    </row>
    <row r="34" spans="17:18" x14ac:dyDescent="0.2">
      <c r="Q34" s="65" t="s">
        <v>956</v>
      </c>
      <c r="R34" s="65" t="s">
        <v>957</v>
      </c>
    </row>
    <row r="35" spans="17:18" x14ac:dyDescent="0.2">
      <c r="Q35" s="65" t="s">
        <v>958</v>
      </c>
      <c r="R35" t="s">
        <v>590</v>
      </c>
    </row>
    <row r="36" spans="17:18" x14ac:dyDescent="0.2">
      <c r="Q36" s="65" t="s">
        <v>959</v>
      </c>
      <c r="R36" s="65" t="s">
        <v>759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3" sqref="A3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5" t="s">
        <v>578</v>
      </c>
    </row>
    <row r="2" spans="1:1" x14ac:dyDescent="0.2">
      <c r="A2" s="66" t="s">
        <v>766</v>
      </c>
    </row>
    <row r="3" spans="1:1" x14ac:dyDescent="0.2">
      <c r="A3" s="66"/>
    </row>
    <row r="4" spans="1:1" x14ac:dyDescent="0.2">
      <c r="A4" s="66"/>
    </row>
    <row r="5" spans="1:1" x14ac:dyDescent="0.2">
      <c r="A5" s="66"/>
    </row>
    <row r="6" spans="1:1" x14ac:dyDescent="0.2">
      <c r="A6" s="68"/>
    </row>
    <row r="7" spans="1:1" x14ac:dyDescent="0.2">
      <c r="A7" s="66"/>
    </row>
    <row r="8" spans="1:1" x14ac:dyDescent="0.2">
      <c r="A8" s="66"/>
    </row>
    <row r="10" spans="1:1" x14ac:dyDescent="0.2">
      <c r="A10" s="66"/>
    </row>
    <row r="11" spans="1:1" x14ac:dyDescent="0.2">
      <c r="A11" s="66"/>
    </row>
    <row r="12" spans="1:1" x14ac:dyDescent="0.2">
      <c r="A12" s="66"/>
    </row>
    <row r="13" spans="1:1" x14ac:dyDescent="0.2">
      <c r="A13" s="66"/>
    </row>
    <row r="15" spans="1:1" x14ac:dyDescent="0.2">
      <c r="A15" s="5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157" workbookViewId="0">
      <selection activeCell="B31" sqref="B31"/>
    </sheetView>
  </sheetViews>
  <sheetFormatPr baseColWidth="10" defaultRowHeight="12.75" x14ac:dyDescent="0.2"/>
  <cols>
    <col min="1" max="1" width="29" style="38" customWidth="1"/>
    <col min="2" max="2" width="34.7109375" style="38" customWidth="1"/>
  </cols>
  <sheetData>
    <row r="1" spans="1:2" x14ac:dyDescent="0.2">
      <c r="A1" s="38" t="s">
        <v>240</v>
      </c>
      <c r="B1" s="38" t="s">
        <v>326</v>
      </c>
    </row>
    <row r="2" spans="1:2" x14ac:dyDescent="0.2">
      <c r="A2" s="38" t="s">
        <v>327</v>
      </c>
      <c r="B2" s="38" t="s">
        <v>328</v>
      </c>
    </row>
    <row r="3" spans="1:2" x14ac:dyDescent="0.2">
      <c r="A3" s="38" t="s">
        <v>329</v>
      </c>
      <c r="B3" s="38" t="s">
        <v>330</v>
      </c>
    </row>
    <row r="4" spans="1:2" x14ac:dyDescent="0.2">
      <c r="A4" s="38" t="s">
        <v>331</v>
      </c>
      <c r="B4" s="38" t="s">
        <v>332</v>
      </c>
    </row>
    <row r="5" spans="1:2" x14ac:dyDescent="0.2">
      <c r="A5" s="38" t="s">
        <v>333</v>
      </c>
      <c r="B5" s="38" t="s">
        <v>334</v>
      </c>
    </row>
    <row r="6" spans="1:2" x14ac:dyDescent="0.2">
      <c r="A6" s="38" t="s">
        <v>241</v>
      </c>
      <c r="B6" s="38" t="s">
        <v>242</v>
      </c>
    </row>
    <row r="7" spans="1:2" x14ac:dyDescent="0.2">
      <c r="A7" s="38" t="s">
        <v>133</v>
      </c>
      <c r="B7" s="38" t="s">
        <v>335</v>
      </c>
    </row>
    <row r="8" spans="1:2" x14ac:dyDescent="0.2">
      <c r="A8" s="38" t="s">
        <v>238</v>
      </c>
      <c r="B8" s="38" t="s">
        <v>253</v>
      </c>
    </row>
    <row r="9" spans="1:2" x14ac:dyDescent="0.2">
      <c r="A9" s="38" t="s">
        <v>234</v>
      </c>
      <c r="B9" s="38" t="s">
        <v>244</v>
      </c>
    </row>
    <row r="10" spans="1:2" x14ac:dyDescent="0.2">
      <c r="A10" s="38" t="s">
        <v>308</v>
      </c>
      <c r="B10" s="38" t="s">
        <v>336</v>
      </c>
    </row>
    <row r="11" spans="1:2" x14ac:dyDescent="0.2">
      <c r="A11" s="38" t="s">
        <v>307</v>
      </c>
      <c r="B11" s="38" t="s">
        <v>483</v>
      </c>
    </row>
    <row r="12" spans="1:2" x14ac:dyDescent="0.2">
      <c r="A12" s="38" t="s">
        <v>309</v>
      </c>
      <c r="B12" s="38" t="s">
        <v>338</v>
      </c>
    </row>
    <row r="13" spans="1:2" x14ac:dyDescent="0.2">
      <c r="A13" s="38" t="s">
        <v>484</v>
      </c>
      <c r="B13" s="38" t="s">
        <v>485</v>
      </c>
    </row>
    <row r="14" spans="1:2" x14ac:dyDescent="0.2">
      <c r="A14" s="38" t="s">
        <v>481</v>
      </c>
      <c r="B14" s="38" t="s">
        <v>179</v>
      </c>
    </row>
    <row r="15" spans="1:2" x14ac:dyDescent="0.2">
      <c r="A15" s="38" t="s">
        <v>159</v>
      </c>
      <c r="B15" s="38" t="s">
        <v>178</v>
      </c>
    </row>
    <row r="16" spans="1:2" x14ac:dyDescent="0.2">
      <c r="A16" s="38" t="s">
        <v>245</v>
      </c>
      <c r="B16" s="38" t="s">
        <v>339</v>
      </c>
    </row>
    <row r="17" spans="1:2" x14ac:dyDescent="0.2">
      <c r="A17" s="38" t="s">
        <v>246</v>
      </c>
      <c r="B17" s="38" t="s">
        <v>340</v>
      </c>
    </row>
    <row r="18" spans="1:2" x14ac:dyDescent="0.2">
      <c r="A18" s="38" t="s">
        <v>247</v>
      </c>
      <c r="B18" s="38" t="s">
        <v>341</v>
      </c>
    </row>
    <row r="19" spans="1:2" x14ac:dyDescent="0.2">
      <c r="A19" s="38" t="s">
        <v>342</v>
      </c>
      <c r="B19" s="38" t="s">
        <v>343</v>
      </c>
    </row>
    <row r="20" spans="1:2" x14ac:dyDescent="0.2">
      <c r="A20" s="38" t="s">
        <v>248</v>
      </c>
      <c r="B20" s="38" t="s">
        <v>344</v>
      </c>
    </row>
    <row r="21" spans="1:2" x14ac:dyDescent="0.2">
      <c r="A21" s="38" t="s">
        <v>167</v>
      </c>
      <c r="B21" s="38" t="s">
        <v>249</v>
      </c>
    </row>
    <row r="22" spans="1:2" x14ac:dyDescent="0.2">
      <c r="A22" s="38" t="s">
        <v>345</v>
      </c>
      <c r="B22" s="38" t="s">
        <v>346</v>
      </c>
    </row>
    <row r="23" spans="1:2" x14ac:dyDescent="0.2">
      <c r="A23" s="38" t="s">
        <v>347</v>
      </c>
      <c r="B23" s="38" t="s">
        <v>348</v>
      </c>
    </row>
    <row r="24" spans="1:2" x14ac:dyDescent="0.2">
      <c r="A24" s="38" t="s">
        <v>349</v>
      </c>
      <c r="B24" s="38" t="s">
        <v>350</v>
      </c>
    </row>
    <row r="25" spans="1:2" x14ac:dyDescent="0.2">
      <c r="A25" s="38" t="s">
        <v>351</v>
      </c>
      <c r="B25" s="38" t="s">
        <v>352</v>
      </c>
    </row>
    <row r="26" spans="1:2" x14ac:dyDescent="0.2">
      <c r="A26" s="38" t="s">
        <v>486</v>
      </c>
      <c r="B26" s="38" t="s">
        <v>487</v>
      </c>
    </row>
    <row r="27" spans="1:2" x14ac:dyDescent="0.2">
      <c r="A27" s="38" t="s">
        <v>180</v>
      </c>
      <c r="B27" s="38" t="s">
        <v>181</v>
      </c>
    </row>
    <row r="28" spans="1:2" x14ac:dyDescent="0.2">
      <c r="A28" s="38" t="s">
        <v>325</v>
      </c>
      <c r="B28" s="38" t="s">
        <v>488</v>
      </c>
    </row>
    <row r="29" spans="1:2" x14ac:dyDescent="0.2">
      <c r="A29" s="38" t="s">
        <v>353</v>
      </c>
      <c r="B29" s="38" t="s">
        <v>356</v>
      </c>
    </row>
    <row r="30" spans="1:2" x14ac:dyDescent="0.2">
      <c r="A30" s="38" t="s">
        <v>354</v>
      </c>
      <c r="B30" s="38" t="s">
        <v>488</v>
      </c>
    </row>
    <row r="31" spans="1:2" x14ac:dyDescent="0.2">
      <c r="A31" s="38" t="s">
        <v>50</v>
      </c>
      <c r="B31" s="38" t="s">
        <v>250</v>
      </c>
    </row>
    <row r="32" spans="1:2" x14ac:dyDescent="0.2">
      <c r="A32" s="38" t="s">
        <v>471</v>
      </c>
      <c r="B32" s="38" t="s">
        <v>489</v>
      </c>
    </row>
    <row r="33" spans="1:2" x14ac:dyDescent="0.2">
      <c r="A33" s="38" t="s">
        <v>490</v>
      </c>
      <c r="B33" s="38" t="s">
        <v>491</v>
      </c>
    </row>
    <row r="34" spans="1:2" x14ac:dyDescent="0.2">
      <c r="A34" s="38" t="s">
        <v>492</v>
      </c>
      <c r="B34" s="38" t="s">
        <v>493</v>
      </c>
    </row>
    <row r="35" spans="1:2" x14ac:dyDescent="0.2">
      <c r="A35" s="38" t="s">
        <v>494</v>
      </c>
      <c r="B35" s="38" t="s">
        <v>495</v>
      </c>
    </row>
    <row r="36" spans="1:2" x14ac:dyDescent="0.2">
      <c r="A36" s="38" t="s">
        <v>472</v>
      </c>
      <c r="B36" s="38" t="s">
        <v>473</v>
      </c>
    </row>
    <row r="37" spans="1:2" x14ac:dyDescent="0.2">
      <c r="A37" s="38" t="s">
        <v>355</v>
      </c>
      <c r="B37" s="38" t="s">
        <v>453</v>
      </c>
    </row>
    <row r="38" spans="1:2" x14ac:dyDescent="0.2">
      <c r="A38" s="38" t="s">
        <v>357</v>
      </c>
      <c r="B38" s="38" t="s">
        <v>474</v>
      </c>
    </row>
    <row r="39" spans="1:2" x14ac:dyDescent="0.2">
      <c r="A39" s="38" t="s">
        <v>298</v>
      </c>
      <c r="B39" s="38" t="s">
        <v>516</v>
      </c>
    </row>
    <row r="40" spans="1:2" x14ac:dyDescent="0.2">
      <c r="A40" s="38" t="s">
        <v>470</v>
      </c>
      <c r="B40" s="38" t="s">
        <v>475</v>
      </c>
    </row>
    <row r="41" spans="1:2" x14ac:dyDescent="0.2">
      <c r="A41" s="38" t="s">
        <v>206</v>
      </c>
      <c r="B41" s="38" t="s">
        <v>251</v>
      </c>
    </row>
    <row r="42" spans="1:2" x14ac:dyDescent="0.2">
      <c r="A42" s="38" t="s">
        <v>182</v>
      </c>
      <c r="B42" s="38" t="s">
        <v>359</v>
      </c>
    </row>
    <row r="43" spans="1:2" x14ac:dyDescent="0.2">
      <c r="A43" s="38" t="s">
        <v>183</v>
      </c>
      <c r="B43" s="38" t="s">
        <v>273</v>
      </c>
    </row>
    <row r="44" spans="1:2" x14ac:dyDescent="0.2">
      <c r="A44" s="38" t="s">
        <v>185</v>
      </c>
      <c r="B44" s="38" t="s">
        <v>360</v>
      </c>
    </row>
    <row r="45" spans="1:2" x14ac:dyDescent="0.2">
      <c r="A45" s="38" t="s">
        <v>361</v>
      </c>
      <c r="B45" s="38" t="s">
        <v>362</v>
      </c>
    </row>
    <row r="46" spans="1:2" x14ac:dyDescent="0.2">
      <c r="A46" s="38" t="s">
        <v>127</v>
      </c>
      <c r="B46" s="38" t="s">
        <v>363</v>
      </c>
    </row>
    <row r="47" spans="1:2" x14ac:dyDescent="0.2">
      <c r="A47" s="38" t="s">
        <v>364</v>
      </c>
      <c r="B47" s="38" t="s">
        <v>365</v>
      </c>
    </row>
    <row r="48" spans="1:2" x14ac:dyDescent="0.2">
      <c r="A48" s="38" t="s">
        <v>366</v>
      </c>
      <c r="B48" s="38" t="s">
        <v>200</v>
      </c>
    </row>
    <row r="49" spans="1:2" x14ac:dyDescent="0.2">
      <c r="A49" s="38" t="s">
        <v>367</v>
      </c>
      <c r="B49" s="38" t="s">
        <v>368</v>
      </c>
    </row>
    <row r="50" spans="1:2" x14ac:dyDescent="0.2">
      <c r="A50" s="38" t="s">
        <v>369</v>
      </c>
      <c r="B50" s="38" t="s">
        <v>370</v>
      </c>
    </row>
    <row r="51" spans="1:2" x14ac:dyDescent="0.2">
      <c r="A51" s="38" t="s">
        <v>51</v>
      </c>
      <c r="B51" s="38" t="s">
        <v>252</v>
      </c>
    </row>
    <row r="52" spans="1:2" x14ac:dyDescent="0.2">
      <c r="A52" s="38" t="s">
        <v>371</v>
      </c>
      <c r="B52" s="38" t="s">
        <v>372</v>
      </c>
    </row>
    <row r="53" spans="1:2" x14ac:dyDescent="0.2">
      <c r="A53" s="38" t="s">
        <v>373</v>
      </c>
      <c r="B53" s="38" t="s">
        <v>177</v>
      </c>
    </row>
    <row r="54" spans="1:2" x14ac:dyDescent="0.2">
      <c r="A54" s="38" t="s">
        <v>374</v>
      </c>
      <c r="B54" s="38" t="s">
        <v>375</v>
      </c>
    </row>
    <row r="55" spans="1:2" x14ac:dyDescent="0.2">
      <c r="A55" s="38" t="s">
        <v>376</v>
      </c>
      <c r="B55" s="38" t="s">
        <v>377</v>
      </c>
    </row>
    <row r="56" spans="1:2" x14ac:dyDescent="0.2">
      <c r="A56" s="38" t="s">
        <v>378</v>
      </c>
      <c r="B56" s="38" t="s">
        <v>517</v>
      </c>
    </row>
    <row r="57" spans="1:2" x14ac:dyDescent="0.2">
      <c r="A57" s="38" t="s">
        <v>158</v>
      </c>
      <c r="B57" s="38" t="s">
        <v>187</v>
      </c>
    </row>
    <row r="58" spans="1:2" x14ac:dyDescent="0.2">
      <c r="A58" s="38" t="s">
        <v>496</v>
      </c>
      <c r="B58" s="38" t="s">
        <v>497</v>
      </c>
    </row>
    <row r="59" spans="1:2" x14ac:dyDescent="0.2">
      <c r="A59" s="38" t="s">
        <v>380</v>
      </c>
      <c r="B59" s="38" t="s">
        <v>381</v>
      </c>
    </row>
    <row r="60" spans="1:2" x14ac:dyDescent="0.2">
      <c r="A60" s="38" t="s">
        <v>382</v>
      </c>
      <c r="B60" s="38" t="s">
        <v>274</v>
      </c>
    </row>
    <row r="61" spans="1:2" x14ac:dyDescent="0.2">
      <c r="A61" s="38" t="s">
        <v>383</v>
      </c>
      <c r="B61" s="38" t="s">
        <v>384</v>
      </c>
    </row>
    <row r="62" spans="1:2" x14ac:dyDescent="0.2">
      <c r="A62" s="38" t="s">
        <v>385</v>
      </c>
      <c r="B62" s="38" t="s">
        <v>386</v>
      </c>
    </row>
    <row r="63" spans="1:2" x14ac:dyDescent="0.2">
      <c r="A63" s="38" t="s">
        <v>387</v>
      </c>
      <c r="B63" s="38" t="s">
        <v>379</v>
      </c>
    </row>
    <row r="64" spans="1:2" x14ac:dyDescent="0.2">
      <c r="A64" s="38" t="s">
        <v>295</v>
      </c>
      <c r="B64" s="38" t="s">
        <v>388</v>
      </c>
    </row>
    <row r="65" spans="1:2" x14ac:dyDescent="0.2">
      <c r="A65" s="38" t="s">
        <v>289</v>
      </c>
      <c r="B65" s="38" t="s">
        <v>389</v>
      </c>
    </row>
    <row r="66" spans="1:2" x14ac:dyDescent="0.2">
      <c r="A66" s="38" t="s">
        <v>188</v>
      </c>
      <c r="B66" s="38" t="s">
        <v>189</v>
      </c>
    </row>
    <row r="67" spans="1:2" x14ac:dyDescent="0.2">
      <c r="A67" s="38" t="s">
        <v>390</v>
      </c>
      <c r="B67" s="38" t="s">
        <v>267</v>
      </c>
    </row>
    <row r="68" spans="1:2" x14ac:dyDescent="0.2">
      <c r="A68" s="38" t="s">
        <v>391</v>
      </c>
      <c r="B68" s="38" t="s">
        <v>398</v>
      </c>
    </row>
    <row r="69" spans="1:2" x14ac:dyDescent="0.2">
      <c r="A69" s="38" t="s">
        <v>393</v>
      </c>
      <c r="B69" s="38" t="s">
        <v>392</v>
      </c>
    </row>
    <row r="70" spans="1:2" x14ac:dyDescent="0.2">
      <c r="A70" s="38" t="s">
        <v>395</v>
      </c>
      <c r="B70" s="38" t="s">
        <v>394</v>
      </c>
    </row>
    <row r="71" spans="1:2" x14ac:dyDescent="0.2">
      <c r="A71" s="38" t="s">
        <v>397</v>
      </c>
      <c r="B71" s="38" t="s">
        <v>498</v>
      </c>
    </row>
    <row r="72" spans="1:2" x14ac:dyDescent="0.2">
      <c r="A72" s="38" t="s">
        <v>294</v>
      </c>
      <c r="B72" s="38" t="s">
        <v>399</v>
      </c>
    </row>
    <row r="73" spans="1:2" x14ac:dyDescent="0.2">
      <c r="A73" s="38" t="s">
        <v>254</v>
      </c>
      <c r="B73" s="38" t="s">
        <v>260</v>
      </c>
    </row>
    <row r="74" spans="1:2" x14ac:dyDescent="0.2">
      <c r="A74" s="38" t="s">
        <v>256</v>
      </c>
      <c r="B74" s="38" t="s">
        <v>257</v>
      </c>
    </row>
    <row r="75" spans="1:2" x14ac:dyDescent="0.2">
      <c r="A75" s="38" t="s">
        <v>128</v>
      </c>
      <c r="B75" s="38" t="s">
        <v>499</v>
      </c>
    </row>
    <row r="76" spans="1:2" x14ac:dyDescent="0.2">
      <c r="A76" s="38" t="s">
        <v>140</v>
      </c>
      <c r="B76" s="38" t="s">
        <v>500</v>
      </c>
    </row>
    <row r="77" spans="1:2" x14ac:dyDescent="0.2">
      <c r="A77" s="38" t="s">
        <v>401</v>
      </c>
      <c r="B77" s="38" t="s">
        <v>402</v>
      </c>
    </row>
    <row r="78" spans="1:2" x14ac:dyDescent="0.2">
      <c r="A78" s="38" t="s">
        <v>403</v>
      </c>
      <c r="B78" s="38" t="s">
        <v>404</v>
      </c>
    </row>
    <row r="79" spans="1:2" x14ac:dyDescent="0.2">
      <c r="A79" s="38" t="s">
        <v>406</v>
      </c>
      <c r="B79" s="38" t="s">
        <v>412</v>
      </c>
    </row>
    <row r="80" spans="1:2" x14ac:dyDescent="0.2">
      <c r="A80" s="38" t="s">
        <v>408</v>
      </c>
      <c r="B80" s="38" t="s">
        <v>407</v>
      </c>
    </row>
    <row r="81" spans="1:2" x14ac:dyDescent="0.2">
      <c r="A81" s="38" t="s">
        <v>410</v>
      </c>
      <c r="B81" s="38" t="s">
        <v>409</v>
      </c>
    </row>
    <row r="82" spans="1:2" x14ac:dyDescent="0.2">
      <c r="A82" s="38" t="s">
        <v>411</v>
      </c>
      <c r="B82" s="38" t="s">
        <v>396</v>
      </c>
    </row>
    <row r="83" spans="1:2" x14ac:dyDescent="0.2">
      <c r="A83" s="38" t="s">
        <v>413</v>
      </c>
      <c r="B83" s="38" t="s">
        <v>414</v>
      </c>
    </row>
    <row r="84" spans="1:2" x14ac:dyDescent="0.2">
      <c r="A84" s="38" t="s">
        <v>145</v>
      </c>
      <c r="B84" s="38" t="s">
        <v>501</v>
      </c>
    </row>
    <row r="85" spans="1:2" x14ac:dyDescent="0.2">
      <c r="A85" s="38" t="s">
        <v>416</v>
      </c>
      <c r="B85" s="38" t="s">
        <v>417</v>
      </c>
    </row>
    <row r="86" spans="1:2" x14ac:dyDescent="0.2">
      <c r="A86" s="38" t="s">
        <v>418</v>
      </c>
      <c r="B86" s="38" t="s">
        <v>419</v>
      </c>
    </row>
    <row r="87" spans="1:2" x14ac:dyDescent="0.2">
      <c r="A87" s="38" t="s">
        <v>420</v>
      </c>
      <c r="B87" s="38" t="s">
        <v>421</v>
      </c>
    </row>
    <row r="88" spans="1:2" x14ac:dyDescent="0.2">
      <c r="A88" s="38" t="s">
        <v>422</v>
      </c>
      <c r="B88" s="38" t="s">
        <v>423</v>
      </c>
    </row>
    <row r="89" spans="1:2" x14ac:dyDescent="0.2">
      <c r="A89" s="38" t="s">
        <v>424</v>
      </c>
      <c r="B89" s="38" t="s">
        <v>425</v>
      </c>
    </row>
    <row r="90" spans="1:2" x14ac:dyDescent="0.2">
      <c r="A90" s="38" t="s">
        <v>426</v>
      </c>
      <c r="B90" s="38" t="s">
        <v>427</v>
      </c>
    </row>
    <row r="91" spans="1:2" x14ac:dyDescent="0.2">
      <c r="A91" s="38" t="s">
        <v>428</v>
      </c>
      <c r="B91" s="38" t="s">
        <v>429</v>
      </c>
    </row>
    <row r="92" spans="1:2" x14ac:dyDescent="0.2">
      <c r="A92" s="38" t="s">
        <v>430</v>
      </c>
      <c r="B92" s="38" t="s">
        <v>258</v>
      </c>
    </row>
    <row r="93" spans="1:2" x14ac:dyDescent="0.2">
      <c r="A93" s="38" t="s">
        <v>40</v>
      </c>
      <c r="B93" s="38" t="s">
        <v>518</v>
      </c>
    </row>
    <row r="94" spans="1:2" x14ac:dyDescent="0.2">
      <c r="A94" s="38" t="s">
        <v>259</v>
      </c>
      <c r="B94" s="38" t="s">
        <v>431</v>
      </c>
    </row>
    <row r="95" spans="1:2" x14ac:dyDescent="0.2">
      <c r="A95" s="38" t="s">
        <v>215</v>
      </c>
      <c r="B95" s="38" t="s">
        <v>432</v>
      </c>
    </row>
    <row r="96" spans="1:2" x14ac:dyDescent="0.2">
      <c r="A96" s="38" t="s">
        <v>195</v>
      </c>
      <c r="B96" s="38" t="s">
        <v>433</v>
      </c>
    </row>
    <row r="97" spans="1:2" x14ac:dyDescent="0.2">
      <c r="A97" s="38" t="s">
        <v>196</v>
      </c>
      <c r="B97" s="38" t="s">
        <v>434</v>
      </c>
    </row>
    <row r="98" spans="1:2" x14ac:dyDescent="0.2">
      <c r="A98" s="38" t="s">
        <v>502</v>
      </c>
      <c r="B98" s="38" t="s">
        <v>503</v>
      </c>
    </row>
    <row r="99" spans="1:2" x14ac:dyDescent="0.2">
      <c r="A99" s="38" t="s">
        <v>163</v>
      </c>
      <c r="B99" s="38" t="s">
        <v>435</v>
      </c>
    </row>
    <row r="100" spans="1:2" x14ac:dyDescent="0.2">
      <c r="A100" s="38" t="s">
        <v>436</v>
      </c>
      <c r="B100" s="38" t="s">
        <v>437</v>
      </c>
    </row>
    <row r="101" spans="1:2" x14ac:dyDescent="0.2">
      <c r="A101" s="38" t="s">
        <v>438</v>
      </c>
      <c r="B101" s="38" t="s">
        <v>194</v>
      </c>
    </row>
    <row r="102" spans="1:2" x14ac:dyDescent="0.2">
      <c r="A102" s="38" t="s">
        <v>439</v>
      </c>
      <c r="B102" s="38" t="s">
        <v>440</v>
      </c>
    </row>
    <row r="103" spans="1:2" x14ac:dyDescent="0.2">
      <c r="A103" s="38" t="s">
        <v>441</v>
      </c>
      <c r="B103" s="38" t="s">
        <v>442</v>
      </c>
    </row>
    <row r="104" spans="1:2" x14ac:dyDescent="0.2">
      <c r="A104" s="38" t="s">
        <v>301</v>
      </c>
      <c r="B104" s="38" t="s">
        <v>358</v>
      </c>
    </row>
    <row r="105" spans="1:2" x14ac:dyDescent="0.2">
      <c r="A105" s="38" t="s">
        <v>299</v>
      </c>
      <c r="B105" s="38" t="s">
        <v>443</v>
      </c>
    </row>
    <row r="106" spans="1:2" x14ac:dyDescent="0.2">
      <c r="A106" s="38" t="s">
        <v>445</v>
      </c>
      <c r="B106" s="38" t="s">
        <v>444</v>
      </c>
    </row>
    <row r="107" spans="1:2" x14ac:dyDescent="0.2">
      <c r="A107" s="38" t="s">
        <v>197</v>
      </c>
      <c r="B107" s="38" t="s">
        <v>447</v>
      </c>
    </row>
    <row r="108" spans="1:2" x14ac:dyDescent="0.2">
      <c r="A108" s="38" t="s">
        <v>448</v>
      </c>
      <c r="B108" s="38" t="s">
        <v>449</v>
      </c>
    </row>
    <row r="109" spans="1:2" x14ac:dyDescent="0.2">
      <c r="A109" s="38" t="s">
        <v>237</v>
      </c>
      <c r="B109" s="38" t="s">
        <v>243</v>
      </c>
    </row>
    <row r="110" spans="1:2" x14ac:dyDescent="0.2">
      <c r="A110" s="38" t="s">
        <v>233</v>
      </c>
      <c r="B110" s="38" t="s">
        <v>261</v>
      </c>
    </row>
    <row r="111" spans="1:2" x14ac:dyDescent="0.2">
      <c r="A111" s="38" t="s">
        <v>482</v>
      </c>
      <c r="B111" s="38" t="s">
        <v>405</v>
      </c>
    </row>
    <row r="112" spans="1:2" x14ac:dyDescent="0.2">
      <c r="A112" s="38" t="s">
        <v>504</v>
      </c>
      <c r="B112" s="38" t="s">
        <v>505</v>
      </c>
    </row>
    <row r="113" spans="1:2" x14ac:dyDescent="0.2">
      <c r="A113" s="38" t="s">
        <v>450</v>
      </c>
      <c r="B113" s="38" t="s">
        <v>455</v>
      </c>
    </row>
    <row r="114" spans="1:2" x14ac:dyDescent="0.2">
      <c r="A114" s="38" t="s">
        <v>239</v>
      </c>
      <c r="B114" s="38" t="s">
        <v>262</v>
      </c>
    </row>
    <row r="115" spans="1:2" x14ac:dyDescent="0.2">
      <c r="A115" s="38" t="s">
        <v>263</v>
      </c>
      <c r="B115" s="38" t="s">
        <v>264</v>
      </c>
    </row>
    <row r="116" spans="1:2" x14ac:dyDescent="0.2">
      <c r="A116" s="38" t="s">
        <v>265</v>
      </c>
      <c r="B116" s="38" t="s">
        <v>451</v>
      </c>
    </row>
    <row r="117" spans="1:2" x14ac:dyDescent="0.2">
      <c r="A117" s="38" t="s">
        <v>312</v>
      </c>
      <c r="B117" s="38" t="s">
        <v>452</v>
      </c>
    </row>
    <row r="118" spans="1:2" x14ac:dyDescent="0.2">
      <c r="A118" s="38" t="s">
        <v>266</v>
      </c>
      <c r="B118" s="38" t="s">
        <v>287</v>
      </c>
    </row>
    <row r="119" spans="1:2" x14ac:dyDescent="0.2">
      <c r="A119" s="38" t="s">
        <v>268</v>
      </c>
      <c r="B119" s="38" t="s">
        <v>269</v>
      </c>
    </row>
    <row r="120" spans="1:2" x14ac:dyDescent="0.2">
      <c r="A120" s="38" t="s">
        <v>198</v>
      </c>
      <c r="B120" s="38" t="s">
        <v>400</v>
      </c>
    </row>
    <row r="121" spans="1:2" x14ac:dyDescent="0.2">
      <c r="A121" s="38" t="s">
        <v>310</v>
      </c>
      <c r="B121" s="38" t="s">
        <v>270</v>
      </c>
    </row>
    <row r="122" spans="1:2" x14ac:dyDescent="0.2">
      <c r="A122" s="38" t="s">
        <v>323</v>
      </c>
      <c r="B122" s="38" t="s">
        <v>454</v>
      </c>
    </row>
    <row r="123" spans="1:2" x14ac:dyDescent="0.2">
      <c r="A123" s="38" t="s">
        <v>318</v>
      </c>
      <c r="B123" s="38" t="s">
        <v>519</v>
      </c>
    </row>
    <row r="124" spans="1:2" x14ac:dyDescent="0.2">
      <c r="A124" s="38" t="s">
        <v>506</v>
      </c>
      <c r="B124" s="38" t="s">
        <v>337</v>
      </c>
    </row>
    <row r="125" spans="1:2" x14ac:dyDescent="0.2">
      <c r="A125" s="38" t="s">
        <v>507</v>
      </c>
      <c r="B125" s="38" t="s">
        <v>508</v>
      </c>
    </row>
    <row r="126" spans="1:2" x14ac:dyDescent="0.2">
      <c r="A126" s="38" t="s">
        <v>211</v>
      </c>
      <c r="B126" s="38" t="s">
        <v>271</v>
      </c>
    </row>
    <row r="127" spans="1:2" x14ac:dyDescent="0.2">
      <c r="A127" s="38" t="s">
        <v>509</v>
      </c>
      <c r="B127" s="38" t="s">
        <v>510</v>
      </c>
    </row>
    <row r="128" spans="1:2" x14ac:dyDescent="0.2">
      <c r="A128" s="38" t="s">
        <v>456</v>
      </c>
      <c r="B128" s="38" t="s">
        <v>457</v>
      </c>
    </row>
    <row r="129" spans="1:2" x14ac:dyDescent="0.2">
      <c r="A129" s="38" t="s">
        <v>458</v>
      </c>
      <c r="B129" s="38" t="s">
        <v>199</v>
      </c>
    </row>
    <row r="130" spans="1:2" x14ac:dyDescent="0.2">
      <c r="A130" s="38" t="s">
        <v>459</v>
      </c>
      <c r="B130" s="38" t="s">
        <v>460</v>
      </c>
    </row>
    <row r="131" spans="1:2" x14ac:dyDescent="0.2">
      <c r="A131" s="38" t="s">
        <v>461</v>
      </c>
      <c r="B131" s="38" t="s">
        <v>462</v>
      </c>
    </row>
    <row r="132" spans="1:2" x14ac:dyDescent="0.2">
      <c r="A132" s="38" t="s">
        <v>511</v>
      </c>
      <c r="B132" s="38" t="s">
        <v>512</v>
      </c>
    </row>
    <row r="133" spans="1:2" x14ac:dyDescent="0.2">
      <c r="A133" s="38" t="s">
        <v>463</v>
      </c>
      <c r="B133" s="38" t="s">
        <v>464</v>
      </c>
    </row>
    <row r="134" spans="1:2" x14ac:dyDescent="0.2">
      <c r="A134" s="38" t="s">
        <v>465</v>
      </c>
      <c r="B134" s="38" t="s">
        <v>186</v>
      </c>
    </row>
    <row r="135" spans="1:2" x14ac:dyDescent="0.2">
      <c r="A135" s="38" t="s">
        <v>466</v>
      </c>
      <c r="B135" s="38" t="s">
        <v>467</v>
      </c>
    </row>
    <row r="136" spans="1:2" x14ac:dyDescent="0.2">
      <c r="A136" s="38" t="s">
        <v>468</v>
      </c>
      <c r="B136" s="38" t="s">
        <v>469</v>
      </c>
    </row>
    <row r="137" spans="1:2" x14ac:dyDescent="0.2">
      <c r="A137" s="38" t="s">
        <v>0</v>
      </c>
      <c r="B137" s="38" t="s">
        <v>400</v>
      </c>
    </row>
    <row r="138" spans="1:2" x14ac:dyDescent="0.2">
      <c r="A138" s="38" t="s">
        <v>1</v>
      </c>
      <c r="B138" s="38" t="s">
        <v>400</v>
      </c>
    </row>
    <row r="139" spans="1:2" x14ac:dyDescent="0.2">
      <c r="A139" s="38" t="s">
        <v>2</v>
      </c>
      <c r="B139" s="38" t="s">
        <v>400</v>
      </c>
    </row>
    <row r="140" spans="1:2" x14ac:dyDescent="0.2">
      <c r="A140" s="38" t="s">
        <v>3</v>
      </c>
      <c r="B140" s="38" t="s">
        <v>400</v>
      </c>
    </row>
    <row r="141" spans="1:2" x14ac:dyDescent="0.2">
      <c r="A141" s="38" t="s">
        <v>4</v>
      </c>
      <c r="B141" s="38" t="s">
        <v>5</v>
      </c>
    </row>
    <row r="142" spans="1:2" x14ac:dyDescent="0.2">
      <c r="A142" s="38" t="s">
        <v>6</v>
      </c>
      <c r="B142" s="38" t="s">
        <v>201</v>
      </c>
    </row>
    <row r="143" spans="1:2" x14ac:dyDescent="0.2">
      <c r="A143" s="38" t="s">
        <v>7</v>
      </c>
      <c r="B143" s="38" t="s">
        <v>8</v>
      </c>
    </row>
    <row r="144" spans="1:2" x14ac:dyDescent="0.2">
      <c r="A144" s="38" t="s">
        <v>9</v>
      </c>
      <c r="B144" s="38" t="s">
        <v>10</v>
      </c>
    </row>
    <row r="145" spans="1:2" x14ac:dyDescent="0.2">
      <c r="A145" s="38" t="s">
        <v>275</v>
      </c>
      <c r="B145" s="38" t="s">
        <v>11</v>
      </c>
    </row>
    <row r="146" spans="1:2" x14ac:dyDescent="0.2">
      <c r="A146" s="38" t="s">
        <v>210</v>
      </c>
      <c r="B146" s="38" t="s">
        <v>513</v>
      </c>
    </row>
    <row r="147" spans="1:2" x14ac:dyDescent="0.2">
      <c r="A147" s="38" t="s">
        <v>216</v>
      </c>
      <c r="B147" s="38" t="s">
        <v>12</v>
      </c>
    </row>
    <row r="148" spans="1:2" x14ac:dyDescent="0.2">
      <c r="A148" s="38" t="s">
        <v>209</v>
      </c>
      <c r="B148" s="38" t="s">
        <v>13</v>
      </c>
    </row>
    <row r="149" spans="1:2" x14ac:dyDescent="0.2">
      <c r="A149" s="38" t="s">
        <v>276</v>
      </c>
      <c r="B149" s="38" t="s">
        <v>14</v>
      </c>
    </row>
    <row r="150" spans="1:2" x14ac:dyDescent="0.2">
      <c r="A150" s="38" t="s">
        <v>278</v>
      </c>
      <c r="B150" s="38" t="s">
        <v>283</v>
      </c>
    </row>
    <row r="151" spans="1:2" x14ac:dyDescent="0.2">
      <c r="A151" s="38" t="s">
        <v>202</v>
      </c>
      <c r="B151" s="38" t="s">
        <v>15</v>
      </c>
    </row>
    <row r="152" spans="1:2" x14ac:dyDescent="0.2">
      <c r="A152" s="38" t="s">
        <v>16</v>
      </c>
      <c r="B152" s="38" t="s">
        <v>184</v>
      </c>
    </row>
    <row r="153" spans="1:2" x14ac:dyDescent="0.2">
      <c r="A153" s="38" t="s">
        <v>17</v>
      </c>
      <c r="B153" s="38" t="s">
        <v>18</v>
      </c>
    </row>
    <row r="154" spans="1:2" x14ac:dyDescent="0.2">
      <c r="A154" s="38" t="s">
        <v>19</v>
      </c>
      <c r="B154" s="38" t="s">
        <v>20</v>
      </c>
    </row>
    <row r="155" spans="1:2" x14ac:dyDescent="0.2">
      <c r="A155" s="38" t="s">
        <v>218</v>
      </c>
      <c r="B155" s="38" t="s">
        <v>277</v>
      </c>
    </row>
    <row r="156" spans="1:2" x14ac:dyDescent="0.2">
      <c r="A156" s="38" t="s">
        <v>280</v>
      </c>
      <c r="B156" s="38" t="s">
        <v>21</v>
      </c>
    </row>
    <row r="157" spans="1:2" x14ac:dyDescent="0.2">
      <c r="A157" s="38" t="s">
        <v>22</v>
      </c>
      <c r="B157" s="38" t="s">
        <v>255</v>
      </c>
    </row>
    <row r="158" spans="1:2" x14ac:dyDescent="0.2">
      <c r="A158" s="38" t="s">
        <v>219</v>
      </c>
      <c r="B158" s="38" t="s">
        <v>285</v>
      </c>
    </row>
    <row r="159" spans="1:2" x14ac:dyDescent="0.2">
      <c r="A159" s="38" t="s">
        <v>220</v>
      </c>
      <c r="B159" s="38" t="s">
        <v>279</v>
      </c>
    </row>
    <row r="160" spans="1:2" x14ac:dyDescent="0.2">
      <c r="A160" s="38" t="s">
        <v>284</v>
      </c>
      <c r="B160" s="38" t="s">
        <v>282</v>
      </c>
    </row>
    <row r="161" spans="1:2" x14ac:dyDescent="0.2">
      <c r="A161" s="38" t="s">
        <v>217</v>
      </c>
      <c r="B161" s="38" t="s">
        <v>281</v>
      </c>
    </row>
    <row r="162" spans="1:2" x14ac:dyDescent="0.2">
      <c r="A162" s="38" t="s">
        <v>214</v>
      </c>
      <c r="B162" s="38" t="s">
        <v>23</v>
      </c>
    </row>
    <row r="163" spans="1:2" x14ac:dyDescent="0.2">
      <c r="A163" s="38" t="s">
        <v>213</v>
      </c>
      <c r="B163" s="38" t="s">
        <v>24</v>
      </c>
    </row>
    <row r="164" spans="1:2" x14ac:dyDescent="0.2">
      <c r="A164" s="38" t="s">
        <v>300</v>
      </c>
      <c r="B164" s="38" t="s">
        <v>446</v>
      </c>
    </row>
    <row r="165" spans="1:2" x14ac:dyDescent="0.2">
      <c r="A165" s="38" t="s">
        <v>212</v>
      </c>
      <c r="B165" s="38" t="s">
        <v>25</v>
      </c>
    </row>
    <row r="166" spans="1:2" x14ac:dyDescent="0.2">
      <c r="A166" s="38" t="s">
        <v>204</v>
      </c>
      <c r="B166" s="38" t="s">
        <v>26</v>
      </c>
    </row>
    <row r="167" spans="1:2" x14ac:dyDescent="0.2">
      <c r="A167" s="38" t="s">
        <v>311</v>
      </c>
      <c r="B167" s="38" t="s">
        <v>27</v>
      </c>
    </row>
    <row r="168" spans="1:2" x14ac:dyDescent="0.2">
      <c r="A168" s="38" t="s">
        <v>286</v>
      </c>
      <c r="B168" s="38" t="s">
        <v>272</v>
      </c>
    </row>
    <row r="169" spans="1:2" x14ac:dyDescent="0.2">
      <c r="A169" s="38" t="s">
        <v>288</v>
      </c>
      <c r="B169" s="38" t="s">
        <v>28</v>
      </c>
    </row>
    <row r="170" spans="1:2" x14ac:dyDescent="0.2">
      <c r="A170" s="38" t="s">
        <v>514</v>
      </c>
      <c r="B170" s="38" t="s">
        <v>515</v>
      </c>
    </row>
    <row r="171" spans="1:2" x14ac:dyDescent="0.2">
      <c r="A171" s="38" t="s">
        <v>30</v>
      </c>
      <c r="B171" s="38" t="s">
        <v>31</v>
      </c>
    </row>
    <row r="172" spans="1:2" x14ac:dyDescent="0.2">
      <c r="A172" s="38" t="s">
        <v>32</v>
      </c>
      <c r="B172" s="38" t="s">
        <v>203</v>
      </c>
    </row>
    <row r="173" spans="1:2" x14ac:dyDescent="0.2">
      <c r="A173" s="38" t="s">
        <v>33</v>
      </c>
      <c r="B173" s="38" t="s">
        <v>34</v>
      </c>
    </row>
    <row r="174" spans="1:2" x14ac:dyDescent="0.2">
      <c r="A174" s="38" t="s">
        <v>476</v>
      </c>
      <c r="B174" s="38" t="s">
        <v>29</v>
      </c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74" workbookViewId="0">
      <selection activeCell="B193" sqref="B193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240</v>
      </c>
      <c r="B1" t="s">
        <v>326</v>
      </c>
    </row>
    <row r="2" spans="1:2" x14ac:dyDescent="0.2">
      <c r="A2" t="s">
        <v>327</v>
      </c>
      <c r="B2" t="s">
        <v>328</v>
      </c>
    </row>
    <row r="3" spans="1:2" x14ac:dyDescent="0.2">
      <c r="A3" t="s">
        <v>329</v>
      </c>
      <c r="B3" t="s">
        <v>330</v>
      </c>
    </row>
    <row r="4" spans="1:2" x14ac:dyDescent="0.2">
      <c r="A4" t="s">
        <v>331</v>
      </c>
      <c r="B4" t="s">
        <v>332</v>
      </c>
    </row>
    <row r="5" spans="1:2" x14ac:dyDescent="0.2">
      <c r="A5" t="s">
        <v>333</v>
      </c>
      <c r="B5" t="s">
        <v>334</v>
      </c>
    </row>
    <row r="6" spans="1:2" x14ac:dyDescent="0.2">
      <c r="A6" t="s">
        <v>241</v>
      </c>
      <c r="B6" t="s">
        <v>242</v>
      </c>
    </row>
    <row r="7" spans="1:2" x14ac:dyDescent="0.2">
      <c r="A7" t="s">
        <v>133</v>
      </c>
      <c r="B7" t="s">
        <v>335</v>
      </c>
    </row>
    <row r="8" spans="1:2" x14ac:dyDescent="0.2">
      <c r="A8" t="s">
        <v>238</v>
      </c>
      <c r="B8" t="s">
        <v>253</v>
      </c>
    </row>
    <row r="9" spans="1:2" x14ac:dyDescent="0.2">
      <c r="A9" t="s">
        <v>234</v>
      </c>
      <c r="B9" t="s">
        <v>545</v>
      </c>
    </row>
    <row r="10" spans="1:2" x14ac:dyDescent="0.2">
      <c r="A10" t="s">
        <v>538</v>
      </c>
      <c r="B10" t="s">
        <v>546</v>
      </c>
    </row>
    <row r="11" spans="1:2" x14ac:dyDescent="0.2">
      <c r="A11" t="s">
        <v>308</v>
      </c>
      <c r="B11" t="s">
        <v>336</v>
      </c>
    </row>
    <row r="12" spans="1:2" x14ac:dyDescent="0.2">
      <c r="A12" t="s">
        <v>307</v>
      </c>
      <c r="B12" t="s">
        <v>483</v>
      </c>
    </row>
    <row r="13" spans="1:2" x14ac:dyDescent="0.2">
      <c r="A13" t="s">
        <v>309</v>
      </c>
      <c r="B13" t="s">
        <v>338</v>
      </c>
    </row>
    <row r="14" spans="1:2" x14ac:dyDescent="0.2">
      <c r="A14" t="s">
        <v>484</v>
      </c>
      <c r="B14" t="s">
        <v>485</v>
      </c>
    </row>
    <row r="15" spans="1:2" x14ac:dyDescent="0.2">
      <c r="A15" t="s">
        <v>481</v>
      </c>
      <c r="B15" t="s">
        <v>178</v>
      </c>
    </row>
    <row r="16" spans="1:2" x14ac:dyDescent="0.2">
      <c r="A16" t="s">
        <v>159</v>
      </c>
      <c r="B16" t="s">
        <v>187</v>
      </c>
    </row>
    <row r="17" spans="1:2" x14ac:dyDescent="0.2">
      <c r="A17" t="s">
        <v>245</v>
      </c>
      <c r="B17" t="s">
        <v>339</v>
      </c>
    </row>
    <row r="18" spans="1:2" x14ac:dyDescent="0.2">
      <c r="A18" t="s">
        <v>246</v>
      </c>
      <c r="B18" t="s">
        <v>340</v>
      </c>
    </row>
    <row r="19" spans="1:2" x14ac:dyDescent="0.2">
      <c r="A19" t="s">
        <v>247</v>
      </c>
      <c r="B19" t="s">
        <v>341</v>
      </c>
    </row>
    <row r="20" spans="1:2" x14ac:dyDescent="0.2">
      <c r="A20" t="s">
        <v>342</v>
      </c>
      <c r="B20" t="s">
        <v>343</v>
      </c>
    </row>
    <row r="21" spans="1:2" x14ac:dyDescent="0.2">
      <c r="A21" t="s">
        <v>248</v>
      </c>
      <c r="B21" t="s">
        <v>344</v>
      </c>
    </row>
    <row r="22" spans="1:2" x14ac:dyDescent="0.2">
      <c r="A22" t="s">
        <v>167</v>
      </c>
      <c r="B22" t="s">
        <v>249</v>
      </c>
    </row>
    <row r="23" spans="1:2" x14ac:dyDescent="0.2">
      <c r="A23" t="s">
        <v>345</v>
      </c>
      <c r="B23" t="s">
        <v>346</v>
      </c>
    </row>
    <row r="24" spans="1:2" x14ac:dyDescent="0.2">
      <c r="A24" t="s">
        <v>347</v>
      </c>
      <c r="B24" t="s">
        <v>348</v>
      </c>
    </row>
    <row r="25" spans="1:2" x14ac:dyDescent="0.2">
      <c r="A25" t="s">
        <v>349</v>
      </c>
      <c r="B25" t="s">
        <v>350</v>
      </c>
    </row>
    <row r="26" spans="1:2" x14ac:dyDescent="0.2">
      <c r="A26" t="s">
        <v>351</v>
      </c>
      <c r="B26" t="s">
        <v>352</v>
      </c>
    </row>
    <row r="27" spans="1:2" x14ac:dyDescent="0.2">
      <c r="A27" t="s">
        <v>486</v>
      </c>
      <c r="B27" t="s">
        <v>487</v>
      </c>
    </row>
    <row r="28" spans="1:2" x14ac:dyDescent="0.2">
      <c r="A28" t="s">
        <v>180</v>
      </c>
      <c r="B28" t="s">
        <v>181</v>
      </c>
    </row>
    <row r="29" spans="1:2" x14ac:dyDescent="0.2">
      <c r="A29" t="s">
        <v>325</v>
      </c>
      <c r="B29" t="s">
        <v>488</v>
      </c>
    </row>
    <row r="30" spans="1:2" x14ac:dyDescent="0.2">
      <c r="A30" t="s">
        <v>353</v>
      </c>
      <c r="B30" t="s">
        <v>356</v>
      </c>
    </row>
    <row r="31" spans="1:2" x14ac:dyDescent="0.2">
      <c r="A31" t="s">
        <v>354</v>
      </c>
      <c r="B31" t="s">
        <v>488</v>
      </c>
    </row>
    <row r="32" spans="1:2" x14ac:dyDescent="0.2">
      <c r="A32" t="s">
        <v>50</v>
      </c>
      <c r="B32" t="s">
        <v>250</v>
      </c>
    </row>
    <row r="33" spans="1:2" x14ac:dyDescent="0.2">
      <c r="A33" t="s">
        <v>471</v>
      </c>
      <c r="B33" t="s">
        <v>547</v>
      </c>
    </row>
    <row r="34" spans="1:2" x14ac:dyDescent="0.2">
      <c r="A34" t="s">
        <v>490</v>
      </c>
      <c r="B34" t="s">
        <v>547</v>
      </c>
    </row>
    <row r="35" spans="1:2" x14ac:dyDescent="0.2">
      <c r="A35" t="s">
        <v>492</v>
      </c>
      <c r="B35" t="s">
        <v>547</v>
      </c>
    </row>
    <row r="36" spans="1:2" x14ac:dyDescent="0.2">
      <c r="A36" t="s">
        <v>494</v>
      </c>
      <c r="B36" t="s">
        <v>547</v>
      </c>
    </row>
    <row r="37" spans="1:2" x14ac:dyDescent="0.2">
      <c r="A37" t="s">
        <v>472</v>
      </c>
      <c r="B37" t="s">
        <v>473</v>
      </c>
    </row>
    <row r="38" spans="1:2" x14ac:dyDescent="0.2">
      <c r="A38" t="s">
        <v>548</v>
      </c>
      <c r="B38" t="s">
        <v>549</v>
      </c>
    </row>
    <row r="39" spans="1:2" x14ac:dyDescent="0.2">
      <c r="A39" t="s">
        <v>355</v>
      </c>
      <c r="B39" t="s">
        <v>453</v>
      </c>
    </row>
    <row r="40" spans="1:2" x14ac:dyDescent="0.2">
      <c r="A40" t="s">
        <v>357</v>
      </c>
      <c r="B40" t="s">
        <v>474</v>
      </c>
    </row>
    <row r="41" spans="1:2" x14ac:dyDescent="0.2">
      <c r="A41" t="s">
        <v>298</v>
      </c>
      <c r="B41" t="s">
        <v>516</v>
      </c>
    </row>
    <row r="42" spans="1:2" x14ac:dyDescent="0.2">
      <c r="A42" t="s">
        <v>550</v>
      </c>
      <c r="B42" t="s">
        <v>551</v>
      </c>
    </row>
    <row r="43" spans="1:2" x14ac:dyDescent="0.2">
      <c r="A43" t="s">
        <v>552</v>
      </c>
      <c r="B43" t="s">
        <v>553</v>
      </c>
    </row>
    <row r="44" spans="1:2" x14ac:dyDescent="0.2">
      <c r="A44" t="s">
        <v>554</v>
      </c>
      <c r="B44" t="s">
        <v>555</v>
      </c>
    </row>
    <row r="45" spans="1:2" x14ac:dyDescent="0.2">
      <c r="A45" t="s">
        <v>470</v>
      </c>
      <c r="B45" t="s">
        <v>475</v>
      </c>
    </row>
    <row r="46" spans="1:2" x14ac:dyDescent="0.2">
      <c r="A46" t="s">
        <v>206</v>
      </c>
      <c r="B46" t="s">
        <v>251</v>
      </c>
    </row>
    <row r="47" spans="1:2" x14ac:dyDescent="0.2">
      <c r="A47" t="s">
        <v>182</v>
      </c>
      <c r="B47" t="s">
        <v>359</v>
      </c>
    </row>
    <row r="48" spans="1:2" x14ac:dyDescent="0.2">
      <c r="A48" t="s">
        <v>183</v>
      </c>
      <c r="B48" t="s">
        <v>273</v>
      </c>
    </row>
    <row r="49" spans="1:2" x14ac:dyDescent="0.2">
      <c r="A49" t="s">
        <v>185</v>
      </c>
      <c r="B49" t="s">
        <v>360</v>
      </c>
    </row>
    <row r="50" spans="1:2" x14ac:dyDescent="0.2">
      <c r="A50" t="s">
        <v>361</v>
      </c>
      <c r="B50" t="s">
        <v>362</v>
      </c>
    </row>
    <row r="51" spans="1:2" x14ac:dyDescent="0.2">
      <c r="A51" t="s">
        <v>364</v>
      </c>
      <c r="B51" t="s">
        <v>365</v>
      </c>
    </row>
    <row r="52" spans="1:2" x14ac:dyDescent="0.2">
      <c r="A52" t="s">
        <v>366</v>
      </c>
      <c r="B52" t="s">
        <v>200</v>
      </c>
    </row>
    <row r="53" spans="1:2" x14ac:dyDescent="0.2">
      <c r="A53" t="s">
        <v>367</v>
      </c>
      <c r="B53" t="s">
        <v>368</v>
      </c>
    </row>
    <row r="54" spans="1:2" x14ac:dyDescent="0.2">
      <c r="A54" t="s">
        <v>369</v>
      </c>
      <c r="B54" t="s">
        <v>370</v>
      </c>
    </row>
    <row r="55" spans="1:2" x14ac:dyDescent="0.2">
      <c r="A55" t="s">
        <v>51</v>
      </c>
      <c r="B55" t="s">
        <v>252</v>
      </c>
    </row>
    <row r="56" spans="1:2" x14ac:dyDescent="0.2">
      <c r="A56" t="s">
        <v>371</v>
      </c>
      <c r="B56" t="s">
        <v>372</v>
      </c>
    </row>
    <row r="57" spans="1:2" x14ac:dyDescent="0.2">
      <c r="A57" t="s">
        <v>373</v>
      </c>
      <c r="B57" t="s">
        <v>177</v>
      </c>
    </row>
    <row r="58" spans="1:2" x14ac:dyDescent="0.2">
      <c r="A58" t="s">
        <v>374</v>
      </c>
      <c r="B58" t="s">
        <v>375</v>
      </c>
    </row>
    <row r="59" spans="1:2" x14ac:dyDescent="0.2">
      <c r="A59" t="s">
        <v>376</v>
      </c>
      <c r="B59" t="s">
        <v>377</v>
      </c>
    </row>
    <row r="60" spans="1:2" x14ac:dyDescent="0.2">
      <c r="A60" t="s">
        <v>378</v>
      </c>
      <c r="B60" t="s">
        <v>517</v>
      </c>
    </row>
    <row r="61" spans="1:2" x14ac:dyDescent="0.2">
      <c r="A61" t="s">
        <v>158</v>
      </c>
      <c r="B61" t="s">
        <v>181</v>
      </c>
    </row>
    <row r="62" spans="1:2" x14ac:dyDescent="0.2">
      <c r="A62" t="s">
        <v>496</v>
      </c>
      <c r="B62" t="s">
        <v>497</v>
      </c>
    </row>
    <row r="63" spans="1:2" x14ac:dyDescent="0.2">
      <c r="A63" t="s">
        <v>380</v>
      </c>
      <c r="B63" t="s">
        <v>381</v>
      </c>
    </row>
    <row r="64" spans="1:2" x14ac:dyDescent="0.2">
      <c r="A64" t="s">
        <v>382</v>
      </c>
      <c r="B64" t="s">
        <v>274</v>
      </c>
    </row>
    <row r="65" spans="1:2" x14ac:dyDescent="0.2">
      <c r="A65" t="s">
        <v>383</v>
      </c>
      <c r="B65" t="s">
        <v>384</v>
      </c>
    </row>
    <row r="66" spans="1:2" x14ac:dyDescent="0.2">
      <c r="A66" t="s">
        <v>385</v>
      </c>
      <c r="B66" t="s">
        <v>386</v>
      </c>
    </row>
    <row r="67" spans="1:2" x14ac:dyDescent="0.2">
      <c r="A67" t="s">
        <v>387</v>
      </c>
      <c r="B67" t="s">
        <v>379</v>
      </c>
    </row>
    <row r="68" spans="1:2" x14ac:dyDescent="0.2">
      <c r="A68" t="s">
        <v>295</v>
      </c>
      <c r="B68" t="s">
        <v>388</v>
      </c>
    </row>
    <row r="69" spans="1:2" x14ac:dyDescent="0.2">
      <c r="A69" t="s">
        <v>556</v>
      </c>
      <c r="B69" t="s">
        <v>557</v>
      </c>
    </row>
    <row r="70" spans="1:2" x14ac:dyDescent="0.2">
      <c r="A70" t="s">
        <v>289</v>
      </c>
      <c r="B70" t="s">
        <v>558</v>
      </c>
    </row>
    <row r="71" spans="1:2" x14ac:dyDescent="0.2">
      <c r="A71" t="s">
        <v>539</v>
      </c>
      <c r="B71" t="s">
        <v>559</v>
      </c>
    </row>
    <row r="72" spans="1:2" x14ac:dyDescent="0.2">
      <c r="A72" t="s">
        <v>560</v>
      </c>
      <c r="B72" t="s">
        <v>561</v>
      </c>
    </row>
    <row r="73" spans="1:2" x14ac:dyDescent="0.2">
      <c r="A73" t="s">
        <v>188</v>
      </c>
      <c r="B73" t="s">
        <v>562</v>
      </c>
    </row>
    <row r="74" spans="1:2" x14ac:dyDescent="0.2">
      <c r="A74" t="s">
        <v>390</v>
      </c>
      <c r="B74" t="s">
        <v>267</v>
      </c>
    </row>
    <row r="75" spans="1:2" x14ac:dyDescent="0.2">
      <c r="A75" t="s">
        <v>391</v>
      </c>
      <c r="B75" t="s">
        <v>394</v>
      </c>
    </row>
    <row r="76" spans="1:2" x14ac:dyDescent="0.2">
      <c r="A76" t="s">
        <v>393</v>
      </c>
      <c r="B76" t="s">
        <v>396</v>
      </c>
    </row>
    <row r="77" spans="1:2" x14ac:dyDescent="0.2">
      <c r="A77" t="s">
        <v>395</v>
      </c>
      <c r="B77" t="s">
        <v>412</v>
      </c>
    </row>
    <row r="78" spans="1:2" x14ac:dyDescent="0.2">
      <c r="A78" t="s">
        <v>397</v>
      </c>
      <c r="B78" t="s">
        <v>392</v>
      </c>
    </row>
    <row r="79" spans="1:2" x14ac:dyDescent="0.2">
      <c r="A79" t="s">
        <v>294</v>
      </c>
      <c r="B79" t="s">
        <v>399</v>
      </c>
    </row>
    <row r="80" spans="1:2" x14ac:dyDescent="0.2">
      <c r="A80" t="s">
        <v>254</v>
      </c>
      <c r="B80" t="s">
        <v>260</v>
      </c>
    </row>
    <row r="81" spans="1:2" x14ac:dyDescent="0.2">
      <c r="A81" t="s">
        <v>256</v>
      </c>
      <c r="B81" t="s">
        <v>563</v>
      </c>
    </row>
    <row r="82" spans="1:2" x14ac:dyDescent="0.2">
      <c r="A82" t="s">
        <v>128</v>
      </c>
      <c r="B82" t="s">
        <v>564</v>
      </c>
    </row>
    <row r="83" spans="1:2" x14ac:dyDescent="0.2">
      <c r="A83" t="s">
        <v>140</v>
      </c>
      <c r="B83" t="s">
        <v>500</v>
      </c>
    </row>
    <row r="84" spans="1:2" x14ac:dyDescent="0.2">
      <c r="A84" t="s">
        <v>401</v>
      </c>
      <c r="B84" t="s">
        <v>402</v>
      </c>
    </row>
    <row r="85" spans="1:2" x14ac:dyDescent="0.2">
      <c r="A85" t="s">
        <v>403</v>
      </c>
      <c r="B85" t="s">
        <v>404</v>
      </c>
    </row>
    <row r="86" spans="1:2" x14ac:dyDescent="0.2">
      <c r="A86" t="s">
        <v>406</v>
      </c>
      <c r="B86" t="s">
        <v>409</v>
      </c>
    </row>
    <row r="87" spans="1:2" x14ac:dyDescent="0.2">
      <c r="A87" t="s">
        <v>408</v>
      </c>
      <c r="B87" t="s">
        <v>565</v>
      </c>
    </row>
    <row r="88" spans="1:2" x14ac:dyDescent="0.2">
      <c r="A88" t="s">
        <v>410</v>
      </c>
      <c r="B88" t="s">
        <v>566</v>
      </c>
    </row>
    <row r="89" spans="1:2" x14ac:dyDescent="0.2">
      <c r="A89" t="s">
        <v>411</v>
      </c>
      <c r="B89" t="s">
        <v>407</v>
      </c>
    </row>
    <row r="90" spans="1:2" x14ac:dyDescent="0.2">
      <c r="A90" t="s">
        <v>413</v>
      </c>
      <c r="B90" t="s">
        <v>414</v>
      </c>
    </row>
    <row r="91" spans="1:2" x14ac:dyDescent="0.2">
      <c r="A91" t="s">
        <v>145</v>
      </c>
      <c r="B91" t="s">
        <v>501</v>
      </c>
    </row>
    <row r="92" spans="1:2" x14ac:dyDescent="0.2">
      <c r="A92" t="s">
        <v>190</v>
      </c>
      <c r="B92" t="s">
        <v>400</v>
      </c>
    </row>
    <row r="93" spans="1:2" x14ac:dyDescent="0.2">
      <c r="A93" t="s">
        <v>191</v>
      </c>
      <c r="B93" t="s">
        <v>400</v>
      </c>
    </row>
    <row r="94" spans="1:2" x14ac:dyDescent="0.2">
      <c r="A94" t="s">
        <v>192</v>
      </c>
      <c r="B94" t="s">
        <v>400</v>
      </c>
    </row>
    <row r="95" spans="1:2" x14ac:dyDescent="0.2">
      <c r="A95" t="s">
        <v>193</v>
      </c>
      <c r="B95" t="s">
        <v>415</v>
      </c>
    </row>
    <row r="96" spans="1:2" x14ac:dyDescent="0.2">
      <c r="A96" t="s">
        <v>416</v>
      </c>
      <c r="B96" t="s">
        <v>417</v>
      </c>
    </row>
    <row r="97" spans="1:2" x14ac:dyDescent="0.2">
      <c r="A97" t="s">
        <v>418</v>
      </c>
      <c r="B97" t="s">
        <v>419</v>
      </c>
    </row>
    <row r="98" spans="1:2" x14ac:dyDescent="0.2">
      <c r="A98" t="s">
        <v>420</v>
      </c>
      <c r="B98" t="s">
        <v>421</v>
      </c>
    </row>
    <row r="99" spans="1:2" x14ac:dyDescent="0.2">
      <c r="A99" t="s">
        <v>422</v>
      </c>
      <c r="B99" t="s">
        <v>423</v>
      </c>
    </row>
    <row r="100" spans="1:2" x14ac:dyDescent="0.2">
      <c r="A100" t="s">
        <v>424</v>
      </c>
      <c r="B100" t="s">
        <v>425</v>
      </c>
    </row>
    <row r="101" spans="1:2" x14ac:dyDescent="0.2">
      <c r="A101" t="s">
        <v>426</v>
      </c>
      <c r="B101" t="s">
        <v>427</v>
      </c>
    </row>
    <row r="102" spans="1:2" x14ac:dyDescent="0.2">
      <c r="A102" t="s">
        <v>428</v>
      </c>
      <c r="B102" t="s">
        <v>429</v>
      </c>
    </row>
    <row r="103" spans="1:2" x14ac:dyDescent="0.2">
      <c r="A103" t="s">
        <v>430</v>
      </c>
      <c r="B103" t="s">
        <v>258</v>
      </c>
    </row>
    <row r="104" spans="1:2" x14ac:dyDescent="0.2">
      <c r="A104" t="s">
        <v>40</v>
      </c>
      <c r="B104" t="s">
        <v>518</v>
      </c>
    </row>
    <row r="105" spans="1:2" x14ac:dyDescent="0.2">
      <c r="A105" t="s">
        <v>259</v>
      </c>
      <c r="B105" t="s">
        <v>431</v>
      </c>
    </row>
    <row r="106" spans="1:2" x14ac:dyDescent="0.2">
      <c r="A106" t="s">
        <v>215</v>
      </c>
      <c r="B106" t="s">
        <v>432</v>
      </c>
    </row>
    <row r="107" spans="1:2" x14ac:dyDescent="0.2">
      <c r="A107" t="s">
        <v>195</v>
      </c>
      <c r="B107" t="s">
        <v>433</v>
      </c>
    </row>
    <row r="108" spans="1:2" x14ac:dyDescent="0.2">
      <c r="A108" t="s">
        <v>196</v>
      </c>
      <c r="B108" t="s">
        <v>434</v>
      </c>
    </row>
    <row r="109" spans="1:2" x14ac:dyDescent="0.2">
      <c r="A109" t="s">
        <v>502</v>
      </c>
      <c r="B109" t="s">
        <v>503</v>
      </c>
    </row>
    <row r="110" spans="1:2" x14ac:dyDescent="0.2">
      <c r="A110" t="s">
        <v>163</v>
      </c>
      <c r="B110" t="s">
        <v>435</v>
      </c>
    </row>
    <row r="111" spans="1:2" x14ac:dyDescent="0.2">
      <c r="A111" t="s">
        <v>436</v>
      </c>
      <c r="B111" t="s">
        <v>437</v>
      </c>
    </row>
    <row r="112" spans="1:2" x14ac:dyDescent="0.2">
      <c r="A112" t="s">
        <v>438</v>
      </c>
      <c r="B112" t="s">
        <v>194</v>
      </c>
    </row>
    <row r="113" spans="1:2" x14ac:dyDescent="0.2">
      <c r="A113" t="s">
        <v>439</v>
      </c>
      <c r="B113" t="s">
        <v>440</v>
      </c>
    </row>
    <row r="114" spans="1:2" x14ac:dyDescent="0.2">
      <c r="A114" t="s">
        <v>441</v>
      </c>
      <c r="B114" t="s">
        <v>442</v>
      </c>
    </row>
    <row r="115" spans="1:2" x14ac:dyDescent="0.2">
      <c r="A115" t="s">
        <v>301</v>
      </c>
      <c r="B115" t="s">
        <v>358</v>
      </c>
    </row>
    <row r="116" spans="1:2" x14ac:dyDescent="0.2">
      <c r="A116" t="s">
        <v>299</v>
      </c>
      <c r="B116" t="s">
        <v>443</v>
      </c>
    </row>
    <row r="117" spans="1:2" x14ac:dyDescent="0.2">
      <c r="A117" t="s">
        <v>445</v>
      </c>
      <c r="B117" t="s">
        <v>444</v>
      </c>
    </row>
    <row r="118" spans="1:2" x14ac:dyDescent="0.2">
      <c r="A118" t="s">
        <v>197</v>
      </c>
      <c r="B118" t="s">
        <v>447</v>
      </c>
    </row>
    <row r="119" spans="1:2" x14ac:dyDescent="0.2">
      <c r="A119" t="s">
        <v>448</v>
      </c>
      <c r="B119" t="s">
        <v>449</v>
      </c>
    </row>
    <row r="120" spans="1:2" x14ac:dyDescent="0.2">
      <c r="A120" t="s">
        <v>237</v>
      </c>
      <c r="B120" t="s">
        <v>243</v>
      </c>
    </row>
    <row r="121" spans="1:2" x14ac:dyDescent="0.2">
      <c r="A121" t="s">
        <v>544</v>
      </c>
      <c r="B121" t="s">
        <v>567</v>
      </c>
    </row>
    <row r="122" spans="1:2" x14ac:dyDescent="0.2">
      <c r="A122" t="s">
        <v>233</v>
      </c>
      <c r="B122" t="s">
        <v>261</v>
      </c>
    </row>
    <row r="123" spans="1:2" x14ac:dyDescent="0.2">
      <c r="A123" t="s">
        <v>482</v>
      </c>
      <c r="B123" t="s">
        <v>405</v>
      </c>
    </row>
    <row r="124" spans="1:2" x14ac:dyDescent="0.2">
      <c r="A124" t="s">
        <v>504</v>
      </c>
      <c r="B124" t="s">
        <v>505</v>
      </c>
    </row>
    <row r="125" spans="1:2" x14ac:dyDescent="0.2">
      <c r="A125" t="s">
        <v>450</v>
      </c>
      <c r="B125" t="s">
        <v>455</v>
      </c>
    </row>
    <row r="126" spans="1:2" x14ac:dyDescent="0.2">
      <c r="A126" t="s">
        <v>239</v>
      </c>
      <c r="B126" t="s">
        <v>262</v>
      </c>
    </row>
    <row r="127" spans="1:2" x14ac:dyDescent="0.2">
      <c r="A127" t="s">
        <v>568</v>
      </c>
      <c r="B127" t="s">
        <v>569</v>
      </c>
    </row>
    <row r="128" spans="1:2" x14ac:dyDescent="0.2">
      <c r="A128" t="s">
        <v>263</v>
      </c>
      <c r="B128" t="s">
        <v>570</v>
      </c>
    </row>
    <row r="129" spans="1:2" x14ac:dyDescent="0.2">
      <c r="A129" t="s">
        <v>265</v>
      </c>
      <c r="B129" t="s">
        <v>451</v>
      </c>
    </row>
    <row r="130" spans="1:2" x14ac:dyDescent="0.2">
      <c r="A130" t="s">
        <v>312</v>
      </c>
      <c r="B130" t="s">
        <v>452</v>
      </c>
    </row>
    <row r="131" spans="1:2" x14ac:dyDescent="0.2">
      <c r="A131" t="s">
        <v>266</v>
      </c>
      <c r="B131" t="s">
        <v>287</v>
      </c>
    </row>
    <row r="132" spans="1:2" x14ac:dyDescent="0.2">
      <c r="A132" t="s">
        <v>268</v>
      </c>
      <c r="B132" t="s">
        <v>269</v>
      </c>
    </row>
    <row r="133" spans="1:2" x14ac:dyDescent="0.2">
      <c r="A133" t="s">
        <v>198</v>
      </c>
      <c r="B133" t="s">
        <v>400</v>
      </c>
    </row>
    <row r="134" spans="1:2" x14ac:dyDescent="0.2">
      <c r="A134" t="s">
        <v>310</v>
      </c>
      <c r="B134" t="s">
        <v>270</v>
      </c>
    </row>
    <row r="135" spans="1:2" x14ac:dyDescent="0.2">
      <c r="A135" t="s">
        <v>323</v>
      </c>
      <c r="B135" t="s">
        <v>454</v>
      </c>
    </row>
    <row r="136" spans="1:2" x14ac:dyDescent="0.2">
      <c r="A136" t="s">
        <v>318</v>
      </c>
      <c r="B136" t="s">
        <v>519</v>
      </c>
    </row>
    <row r="137" spans="1:2" x14ac:dyDescent="0.2">
      <c r="A137" t="s">
        <v>506</v>
      </c>
      <c r="B137" t="s">
        <v>337</v>
      </c>
    </row>
    <row r="138" spans="1:2" x14ac:dyDescent="0.2">
      <c r="A138" t="s">
        <v>507</v>
      </c>
      <c r="B138" t="s">
        <v>508</v>
      </c>
    </row>
    <row r="139" spans="1:2" x14ac:dyDescent="0.2">
      <c r="A139" t="s">
        <v>211</v>
      </c>
      <c r="B139" t="s">
        <v>271</v>
      </c>
    </row>
    <row r="140" spans="1:2" x14ac:dyDescent="0.2">
      <c r="A140" t="s">
        <v>509</v>
      </c>
      <c r="B140" t="s">
        <v>510</v>
      </c>
    </row>
    <row r="141" spans="1:2" x14ac:dyDescent="0.2">
      <c r="A141" t="s">
        <v>456</v>
      </c>
      <c r="B141" t="s">
        <v>457</v>
      </c>
    </row>
    <row r="142" spans="1:2" x14ac:dyDescent="0.2">
      <c r="A142" t="s">
        <v>458</v>
      </c>
      <c r="B142" t="s">
        <v>199</v>
      </c>
    </row>
    <row r="143" spans="1:2" x14ac:dyDescent="0.2">
      <c r="A143" t="s">
        <v>459</v>
      </c>
      <c r="B143" t="s">
        <v>460</v>
      </c>
    </row>
    <row r="144" spans="1:2" x14ac:dyDescent="0.2">
      <c r="A144" t="s">
        <v>461</v>
      </c>
      <c r="B144" t="s">
        <v>462</v>
      </c>
    </row>
    <row r="145" spans="1:2" x14ac:dyDescent="0.2">
      <c r="A145" t="s">
        <v>511</v>
      </c>
      <c r="B145" t="s">
        <v>512</v>
      </c>
    </row>
    <row r="146" spans="1:2" x14ac:dyDescent="0.2">
      <c r="A146" t="s">
        <v>463</v>
      </c>
      <c r="B146" t="s">
        <v>464</v>
      </c>
    </row>
    <row r="147" spans="1:2" x14ac:dyDescent="0.2">
      <c r="A147" t="s">
        <v>465</v>
      </c>
      <c r="B147" t="s">
        <v>186</v>
      </c>
    </row>
    <row r="148" spans="1:2" x14ac:dyDescent="0.2">
      <c r="A148" t="s">
        <v>466</v>
      </c>
      <c r="B148" t="s">
        <v>467</v>
      </c>
    </row>
    <row r="149" spans="1:2" x14ac:dyDescent="0.2">
      <c r="A149" t="s">
        <v>468</v>
      </c>
      <c r="B149" t="s">
        <v>469</v>
      </c>
    </row>
    <row r="150" spans="1:2" x14ac:dyDescent="0.2">
      <c r="A150" t="s">
        <v>0</v>
      </c>
      <c r="B150" t="s">
        <v>400</v>
      </c>
    </row>
    <row r="151" spans="1:2" x14ac:dyDescent="0.2">
      <c r="A151" t="s">
        <v>1</v>
      </c>
      <c r="B151" t="s">
        <v>400</v>
      </c>
    </row>
    <row r="152" spans="1:2" x14ac:dyDescent="0.2">
      <c r="A152" t="s">
        <v>2</v>
      </c>
      <c r="B152" t="s">
        <v>400</v>
      </c>
    </row>
    <row r="153" spans="1:2" x14ac:dyDescent="0.2">
      <c r="A153" t="s">
        <v>3</v>
      </c>
      <c r="B153" t="s">
        <v>400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201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275</v>
      </c>
      <c r="B158" t="s">
        <v>11</v>
      </c>
    </row>
    <row r="159" spans="1:2" x14ac:dyDescent="0.2">
      <c r="A159" t="s">
        <v>210</v>
      </c>
      <c r="B159" t="s">
        <v>513</v>
      </c>
    </row>
    <row r="160" spans="1:2" x14ac:dyDescent="0.2">
      <c r="A160" t="s">
        <v>216</v>
      </c>
      <c r="B160" t="s">
        <v>12</v>
      </c>
    </row>
    <row r="161" spans="1:2" x14ac:dyDescent="0.2">
      <c r="A161" t="s">
        <v>209</v>
      </c>
      <c r="B161" t="s">
        <v>13</v>
      </c>
    </row>
    <row r="162" spans="1:2" x14ac:dyDescent="0.2">
      <c r="A162" t="s">
        <v>276</v>
      </c>
      <c r="B162" t="s">
        <v>14</v>
      </c>
    </row>
    <row r="163" spans="1:2" x14ac:dyDescent="0.2">
      <c r="A163" t="s">
        <v>278</v>
      </c>
      <c r="B163" t="s">
        <v>283</v>
      </c>
    </row>
    <row r="164" spans="1:2" x14ac:dyDescent="0.2">
      <c r="A164" t="s">
        <v>202</v>
      </c>
      <c r="B164" t="s">
        <v>15</v>
      </c>
    </row>
    <row r="165" spans="1:2" x14ac:dyDescent="0.2">
      <c r="A165" t="s">
        <v>16</v>
      </c>
      <c r="B165" t="s">
        <v>184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218</v>
      </c>
      <c r="B168" t="s">
        <v>277</v>
      </c>
    </row>
    <row r="169" spans="1:2" x14ac:dyDescent="0.2">
      <c r="A169" t="s">
        <v>280</v>
      </c>
      <c r="B169" t="s">
        <v>21</v>
      </c>
    </row>
    <row r="170" spans="1:2" x14ac:dyDescent="0.2">
      <c r="A170" t="s">
        <v>22</v>
      </c>
      <c r="B170" t="s">
        <v>255</v>
      </c>
    </row>
    <row r="171" spans="1:2" x14ac:dyDescent="0.2">
      <c r="A171" t="s">
        <v>219</v>
      </c>
      <c r="B171" t="s">
        <v>285</v>
      </c>
    </row>
    <row r="172" spans="1:2" x14ac:dyDescent="0.2">
      <c r="A172" t="s">
        <v>220</v>
      </c>
      <c r="B172" t="s">
        <v>279</v>
      </c>
    </row>
    <row r="173" spans="1:2" x14ac:dyDescent="0.2">
      <c r="A173" t="s">
        <v>284</v>
      </c>
      <c r="B173" t="s">
        <v>282</v>
      </c>
    </row>
    <row r="174" spans="1:2" x14ac:dyDescent="0.2">
      <c r="A174" t="s">
        <v>217</v>
      </c>
      <c r="B174" t="s">
        <v>281</v>
      </c>
    </row>
    <row r="175" spans="1:2" x14ac:dyDescent="0.2">
      <c r="A175" t="s">
        <v>214</v>
      </c>
      <c r="B175" t="s">
        <v>23</v>
      </c>
    </row>
    <row r="176" spans="1:2" x14ac:dyDescent="0.2">
      <c r="A176" t="s">
        <v>213</v>
      </c>
      <c r="B176" t="s">
        <v>24</v>
      </c>
    </row>
    <row r="177" spans="1:2" x14ac:dyDescent="0.2">
      <c r="A177" t="s">
        <v>300</v>
      </c>
      <c r="B177" t="s">
        <v>446</v>
      </c>
    </row>
    <row r="178" spans="1:2" x14ac:dyDescent="0.2">
      <c r="A178" t="s">
        <v>212</v>
      </c>
      <c r="B178" t="s">
        <v>25</v>
      </c>
    </row>
    <row r="179" spans="1:2" x14ac:dyDescent="0.2">
      <c r="A179" t="s">
        <v>204</v>
      </c>
      <c r="B179" t="s">
        <v>26</v>
      </c>
    </row>
    <row r="180" spans="1:2" x14ac:dyDescent="0.2">
      <c r="A180" t="s">
        <v>311</v>
      </c>
      <c r="B180" t="s">
        <v>27</v>
      </c>
    </row>
    <row r="181" spans="1:2" x14ac:dyDescent="0.2">
      <c r="A181" t="s">
        <v>286</v>
      </c>
      <c r="B181" t="s">
        <v>272</v>
      </c>
    </row>
    <row r="182" spans="1:2" x14ac:dyDescent="0.2">
      <c r="A182" t="s">
        <v>288</v>
      </c>
      <c r="B182" t="s">
        <v>28</v>
      </c>
    </row>
    <row r="183" spans="1:2" x14ac:dyDescent="0.2">
      <c r="A183" t="s">
        <v>514</v>
      </c>
      <c r="B183" t="s">
        <v>515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203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476</v>
      </c>
      <c r="B187" t="s">
        <v>29</v>
      </c>
    </row>
    <row r="192" spans="1:2" x14ac:dyDescent="0.2">
      <c r="A192" t="s">
        <v>571</v>
      </c>
      <c r="B192" s="61">
        <v>46023</v>
      </c>
    </row>
    <row r="193" spans="1:5" x14ac:dyDescent="0.2">
      <c r="A193" s="65" t="s">
        <v>572</v>
      </c>
      <c r="B193" s="61">
        <v>46203</v>
      </c>
      <c r="E193" s="61"/>
    </row>
    <row r="194" spans="1:5" x14ac:dyDescent="0.2">
      <c r="A194" s="65" t="s">
        <v>765</v>
      </c>
      <c r="B194" s="61">
        <v>45884</v>
      </c>
    </row>
    <row r="195" spans="1:5" x14ac:dyDescent="0.2">
      <c r="A195" s="65" t="s">
        <v>765</v>
      </c>
      <c r="B195" s="65" t="s">
        <v>977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19" type="noConversion"/>
  <printOptions heading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20" t="s">
        <v>92</v>
      </c>
      <c r="B1" s="29" t="s">
        <v>127</v>
      </c>
      <c r="C1" s="29" t="s">
        <v>125</v>
      </c>
      <c r="D1" s="30" t="s">
        <v>87</v>
      </c>
      <c r="E1" s="21" t="s">
        <v>84</v>
      </c>
      <c r="F1" s="21" t="s">
        <v>129</v>
      </c>
      <c r="G1" s="22" t="s">
        <v>50</v>
      </c>
      <c r="H1" s="22" t="s">
        <v>51</v>
      </c>
      <c r="I1" s="23" t="s">
        <v>49</v>
      </c>
      <c r="J1" s="21" t="s">
        <v>88</v>
      </c>
      <c r="K1" s="24" t="s">
        <v>36</v>
      </c>
      <c r="L1" s="25" t="s">
        <v>37</v>
      </c>
      <c r="M1" s="25" t="s">
        <v>46</v>
      </c>
      <c r="N1" s="25" t="s">
        <v>44</v>
      </c>
      <c r="O1" s="25" t="s">
        <v>93</v>
      </c>
      <c r="P1" s="25" t="s">
        <v>47</v>
      </c>
      <c r="Q1" s="20" t="s">
        <v>39</v>
      </c>
      <c r="R1" s="21" t="s">
        <v>48</v>
      </c>
      <c r="S1" s="26" t="s">
        <v>128</v>
      </c>
      <c r="T1" s="26" t="s">
        <v>72</v>
      </c>
      <c r="U1" s="27" t="s">
        <v>69</v>
      </c>
      <c r="V1" s="16" t="s">
        <v>71</v>
      </c>
      <c r="W1" s="16" t="s">
        <v>70</v>
      </c>
      <c r="X1" s="16" t="s">
        <v>89</v>
      </c>
      <c r="Y1" s="16" t="s">
        <v>90</v>
      </c>
      <c r="Z1" s="16" t="s">
        <v>136</v>
      </c>
      <c r="AA1" s="16" t="s">
        <v>113</v>
      </c>
      <c r="AB1" s="26" t="s">
        <v>91</v>
      </c>
      <c r="AC1" s="21" t="s">
        <v>103</v>
      </c>
      <c r="AD1" s="21" t="s">
        <v>133</v>
      </c>
      <c r="AE1" s="21" t="s">
        <v>134</v>
      </c>
      <c r="AF1" s="21" t="s">
        <v>126</v>
      </c>
      <c r="AG1" s="21" t="s">
        <v>135</v>
      </c>
      <c r="AH1" s="21" t="s">
        <v>118</v>
      </c>
      <c r="AI1" s="21" t="s">
        <v>124</v>
      </c>
      <c r="AJ1" s="21" t="s">
        <v>120</v>
      </c>
      <c r="AK1" s="28" t="s">
        <v>104</v>
      </c>
      <c r="AL1" s="28" t="s">
        <v>95</v>
      </c>
      <c r="AM1" s="28" t="s">
        <v>96</v>
      </c>
      <c r="AN1" s="16" t="s">
        <v>130</v>
      </c>
      <c r="AO1" s="28" t="s">
        <v>104</v>
      </c>
      <c r="AP1" s="28" t="s">
        <v>95</v>
      </c>
      <c r="AQ1" s="28" t="s">
        <v>96</v>
      </c>
      <c r="AR1" s="16" t="s">
        <v>131</v>
      </c>
      <c r="AS1" s="28" t="s">
        <v>104</v>
      </c>
      <c r="AT1" s="28" t="s">
        <v>95</v>
      </c>
      <c r="AU1" s="28" t="s">
        <v>96</v>
      </c>
      <c r="AV1" s="16" t="s">
        <v>122</v>
      </c>
      <c r="AW1" s="28" t="s">
        <v>104</v>
      </c>
      <c r="AX1" s="28" t="s">
        <v>95</v>
      </c>
      <c r="AY1" s="28" t="s">
        <v>96</v>
      </c>
      <c r="AZ1" s="21" t="s">
        <v>121</v>
      </c>
      <c r="BA1" s="28" t="s">
        <v>104</v>
      </c>
      <c r="BB1" s="28" t="s">
        <v>95</v>
      </c>
      <c r="BC1" s="28" t="s">
        <v>96</v>
      </c>
    </row>
    <row r="2" spans="1:55" s="10" customFormat="1" ht="51" x14ac:dyDescent="0.2">
      <c r="A2" s="10" t="e">
        <f>#REF!</f>
        <v>#REF!</v>
      </c>
      <c r="B2" s="11" t="e">
        <f>#REF!</f>
        <v>#REF!</v>
      </c>
      <c r="C2" s="31" t="e">
        <f>#REF!</f>
        <v>#REF!</v>
      </c>
      <c r="D2" s="10" t="e">
        <f>#REF!</f>
        <v>#REF!</v>
      </c>
      <c r="E2" s="12">
        <f>'Anmeldeformular2026-1'!I10</f>
        <v>0</v>
      </c>
      <c r="F2" s="12">
        <f>'Anmeldeformular2026-1'!I31</f>
        <v>0</v>
      </c>
      <c r="G2" s="13" t="e">
        <f>'Anmeldeformular2026-1'!#REF!</f>
        <v>#REF!</v>
      </c>
      <c r="H2" s="13" t="e">
        <f>'Anmeldeformular2026-1'!#REF!</f>
        <v>#REF!</v>
      </c>
      <c r="I2" s="13" t="e">
        <f>#REF!</f>
        <v>#REF!</v>
      </c>
      <c r="J2" s="12" t="e">
        <f>'Anmeldeformular2026-1'!#REF!</f>
        <v>#REF!</v>
      </c>
      <c r="K2" s="12" t="e">
        <f>'Anmeldeformular2026-1'!#REF!</f>
        <v>#REF!</v>
      </c>
      <c r="L2" s="12" t="e">
        <f>'Anmeldeformular2026-1'!#REF!</f>
        <v>#REF!</v>
      </c>
      <c r="M2" s="12" t="e">
        <f>'Anmeldeformular2026-1'!#REF!</f>
        <v>#REF!</v>
      </c>
      <c r="N2" s="12" t="e">
        <f>'Anmeldeformular2026-1'!#REF!</f>
        <v>#REF!</v>
      </c>
      <c r="O2" s="12" t="e">
        <f>'Anmeldeformular2026-1'!#REF!</f>
        <v>#REF!</v>
      </c>
      <c r="P2" s="14" t="e">
        <f>'Anmeldeformular2026-1'!#REF!</f>
        <v>#REF!</v>
      </c>
      <c r="Q2" s="12" t="e">
        <f>'Anmeldeformular2026-1'!#REF!</f>
        <v>#REF!</v>
      </c>
      <c r="R2" s="12">
        <f>'Anmeldeformular2026-1'!I29</f>
        <v>0</v>
      </c>
      <c r="S2" s="15" t="e">
        <f>#REF!</f>
        <v>#REF!</v>
      </c>
      <c r="T2" s="12" t="e">
        <f>#REF!</f>
        <v>#REF!</v>
      </c>
      <c r="U2" s="32" t="str">
        <f>'Anmeldeformular2026-1'!B51</f>
        <v>davon nicht-binär</v>
      </c>
      <c r="V2" s="32">
        <f>'Anmeldeformular2026-1'!H51</f>
        <v>0</v>
      </c>
      <c r="W2" s="32">
        <f>'Anmeldeformular2026-1'!H52</f>
        <v>0</v>
      </c>
      <c r="X2" s="33">
        <f>'Anmeldeformular2026-1'!X48</f>
        <v>0</v>
      </c>
      <c r="Y2" s="32">
        <f>'Anmeldeformular2026-1'!X49</f>
        <v>0</v>
      </c>
      <c r="Z2" s="32">
        <f>'Anmeldeformular2026-1'!X50</f>
        <v>0</v>
      </c>
      <c r="AA2" s="32">
        <f>'Anmeldeformular2026-1'!H53</f>
        <v>0</v>
      </c>
      <c r="AB2" s="12" t="e">
        <f>#REF!</f>
        <v>#REF!</v>
      </c>
      <c r="AC2" s="32" t="e">
        <f>#REF!</f>
        <v>#REF!</v>
      </c>
      <c r="AD2" s="35" t="e">
        <f>#REF!</f>
        <v>#REF!</v>
      </c>
      <c r="AE2" s="35" t="e">
        <f>#REF!</f>
        <v>#REF!</v>
      </c>
      <c r="AF2" s="15" t="e">
        <f>#REF!</f>
        <v>#REF!</v>
      </c>
      <c r="AG2" s="15" t="e">
        <f>#REF!</f>
        <v>#REF!</v>
      </c>
      <c r="AH2" s="34" t="e">
        <f>#REF!</f>
        <v>#REF!</v>
      </c>
      <c r="AI2" s="34" t="e">
        <f>#REF!</f>
        <v>#REF!</v>
      </c>
      <c r="AJ2" s="32">
        <f>'Anmeldeformular2026-1'!M61</f>
        <v>0</v>
      </c>
      <c r="AK2" s="32">
        <f>'Anmeldeformular2026-1'!P61</f>
        <v>0</v>
      </c>
      <c r="AL2" s="32">
        <f>'Anmeldeformular2026-1'!S61</f>
        <v>0</v>
      </c>
      <c r="AM2" s="32">
        <f>'Anmeldeformular2026-1'!V61</f>
        <v>0</v>
      </c>
      <c r="AN2" s="32">
        <f>'Anmeldeformular2026-1'!R76</f>
        <v>0</v>
      </c>
      <c r="AO2" s="32">
        <f>'Anmeldeformular2026-1'!U76</f>
        <v>0</v>
      </c>
      <c r="AP2" s="32">
        <f>'Anmeldeformular2026-1'!X76</f>
        <v>0</v>
      </c>
      <c r="AQ2" s="32" t="e">
        <f>'Anmeldeformular2026-1'!#REF!</f>
        <v>#REF!</v>
      </c>
      <c r="AR2" s="32" t="e">
        <f>'Anmeldeformular2026-1'!#REF!</f>
        <v>#REF!</v>
      </c>
      <c r="AS2" s="32">
        <f>'Anmeldeformular2026-1'!U80</f>
        <v>0</v>
      </c>
      <c r="AT2" s="32" t="e">
        <f>'Anmeldeformular2026-1'!#REF!</f>
        <v>#REF!</v>
      </c>
      <c r="AU2" s="32" t="e">
        <f>'Anmeldeformular2026-1'!#REF!</f>
        <v>#REF!</v>
      </c>
      <c r="AV2" s="32" t="e">
        <f>AN2+AR2</f>
        <v>#REF!</v>
      </c>
      <c r="AW2" s="32">
        <f>AO2+AS2</f>
        <v>0</v>
      </c>
      <c r="AX2" s="32" t="e">
        <f>AP2+AT2</f>
        <v>#REF!</v>
      </c>
      <c r="AY2" s="32" t="e">
        <f>AQ2+AU2</f>
        <v>#REF!</v>
      </c>
      <c r="AZ2" s="3">
        <f>SUM('Anmeldeformular2026-1'!R62:R74)</f>
        <v>0</v>
      </c>
      <c r="BA2" s="3">
        <f>SUM('Anmeldeformular2026-1'!U62:U74)</f>
        <v>0</v>
      </c>
      <c r="BB2" s="3">
        <f>SUM('Anmeldeformular2026-1'!X62:X74)</f>
        <v>51</v>
      </c>
      <c r="BC2" s="3">
        <f>SUM('Anmeldeformular2026-1'!AA62:AA76)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169</vt:i4>
      </vt:variant>
    </vt:vector>
  </HeadingPairs>
  <TitlesOfParts>
    <vt:vector size="186" baseType="lpstr">
      <vt:lpstr>Anmeldeformular2026-1</vt:lpstr>
      <vt:lpstr>Check</vt:lpstr>
      <vt:lpstr>DOKU_Verk</vt:lpstr>
      <vt:lpstr>Intern</vt:lpstr>
      <vt:lpstr>Dokubogen</vt:lpstr>
      <vt:lpstr>Änd.dokumentation</vt:lpstr>
      <vt:lpstr>Auswahl</vt:lpstr>
      <vt:lpstr>HSOB</vt:lpstr>
      <vt:lpstr>JC</vt:lpstr>
      <vt:lpstr>GK</vt:lpstr>
      <vt:lpstr>Pachse</vt:lpstr>
      <vt:lpstr>Spez.Ziel</vt:lpstr>
      <vt:lpstr>FAnsatz</vt:lpstr>
      <vt:lpstr>ZG</vt:lpstr>
      <vt:lpstr>Namen</vt:lpstr>
      <vt:lpstr>Namenliste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BAges</vt:lpstr>
      <vt:lpstr>BAinstit</vt:lpstr>
      <vt:lpstr>Bedarf</vt:lpstr>
      <vt:lpstr>Beginn</vt:lpstr>
      <vt:lpstr>Beraterliste</vt:lpstr>
      <vt:lpstr>Beraternamen</vt:lpstr>
      <vt:lpstr>BewertungBS</vt:lpstr>
      <vt:lpstr>chartaauswahl</vt:lpstr>
      <vt:lpstr>Datenzeile</vt:lpstr>
      <vt:lpstr>Dokuaktionauswahl</vt:lpstr>
      <vt:lpstr>Dokufansatzauswahl</vt:lpstr>
      <vt:lpstr>DokuPauswahl</vt:lpstr>
      <vt:lpstr>Doplfoeauswahl</vt:lpstr>
      <vt:lpstr>Check!Druckbereich</vt:lpstr>
      <vt:lpstr>edwd</vt:lpstr>
      <vt:lpstr>edwdAuswahl</vt:lpstr>
      <vt:lpstr>eigen1jahr</vt:lpstr>
      <vt:lpstr>eigen2jahr</vt:lpstr>
      <vt:lpstr>eigenges</vt:lpstr>
      <vt:lpstr>einnahmen1jahr</vt:lpstr>
      <vt:lpstr>einnahmenges</vt:lpstr>
      <vt:lpstr>Einord</vt:lpstr>
      <vt:lpstr>Ende</vt:lpstr>
      <vt:lpstr>Entschuldung</vt:lpstr>
      <vt:lpstr>ErlaeuterungChancengl</vt:lpstr>
      <vt:lpstr>esf1jahr</vt:lpstr>
      <vt:lpstr>esfges</vt:lpstr>
      <vt:lpstr>EUcharta</vt:lpstr>
      <vt:lpstr>eurekanr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Indikator</vt:lpstr>
      <vt:lpstr>Inhalte</vt:lpstr>
      <vt:lpstr>intervesf</vt:lpstr>
      <vt:lpstr>Jobcenter</vt:lpstr>
      <vt:lpstr>jobcenter1jahr</vt:lpstr>
      <vt:lpstr>jobcenterges</vt:lpstr>
      <vt:lpstr>Jpauschale</vt:lpstr>
      <vt:lpstr>KMU</vt:lpstr>
      <vt:lpstr>Kofi</vt:lpstr>
      <vt:lpstr>kom1jahr</vt:lpstr>
      <vt:lpstr>komges</vt:lpstr>
      <vt:lpstr>Koop</vt:lpstr>
      <vt:lpstr>Kost1jahr</vt:lpstr>
      <vt:lpstr>Kost2jahr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mastdges</vt:lpstr>
      <vt:lpstr>mb1jahr</vt:lpstr>
      <vt:lpstr>mbges</vt:lpstr>
      <vt:lpstr>Methode</vt:lpstr>
      <vt:lpstr>mffKi1jahr</vt:lpstr>
      <vt:lpstr>mffkiges</vt:lpstr>
      <vt:lpstr>Migrat</vt:lpstr>
      <vt:lpstr>mj1jahr</vt:lpstr>
      <vt:lpstr>mjges</vt:lpstr>
      <vt:lpstr>mkuem1jahr</vt:lpstr>
      <vt:lpstr>mkuemges</vt:lpstr>
      <vt:lpstr>mwg1jahr</vt:lpstr>
      <vt:lpstr>mwgges</vt:lpstr>
      <vt:lpstr>mwvlw1jahr</vt:lpstr>
      <vt:lpstr>mwvlwges</vt:lpstr>
      <vt:lpstr>Nachhaltigkeitauswahl</vt:lpstr>
      <vt:lpstr>Nachhaltigkeitsauswahl</vt:lpstr>
      <vt:lpstr>NeuFA</vt:lpstr>
      <vt:lpstr>neufass</vt:lpstr>
      <vt:lpstr>Nichtdiskriminierungsauswahl</vt:lpstr>
      <vt:lpstr>Pachse</vt:lpstr>
      <vt:lpstr>Pachseauswahl</vt:lpstr>
      <vt:lpstr>Pachsekurz</vt:lpstr>
      <vt:lpstr>Pachseliste</vt:lpstr>
      <vt:lpstr>pauschale</vt:lpstr>
      <vt:lpstr>PK</vt:lpstr>
      <vt:lpstr>PkostAG</vt:lpstr>
      <vt:lpstr>Pnrvorgaenger</vt:lpstr>
      <vt:lpstr>Prio2auswahl</vt:lpstr>
      <vt:lpstr>Prioauswahl</vt:lpstr>
      <vt:lpstr>Projektname</vt:lpstr>
      <vt:lpstr>Projnettokosten</vt:lpstr>
      <vt:lpstr>Prüfergebnis</vt:lpstr>
      <vt:lpstr>Pstruktur</vt:lpstr>
      <vt:lpstr>Ptitel</vt:lpstr>
      <vt:lpstr>Punkte</vt:lpstr>
      <vt:lpstr>Quersch</vt:lpstr>
      <vt:lpstr>regBed</vt:lpstr>
      <vt:lpstr>Region</vt:lpstr>
      <vt:lpstr>SER</vt:lpstr>
      <vt:lpstr>SitZG</vt:lpstr>
      <vt:lpstr>spenden1jahr</vt:lpstr>
      <vt:lpstr>spendenges</vt:lpstr>
      <vt:lpstr>spezZiel</vt:lpstr>
      <vt:lpstr>Sprobeginn</vt:lpstr>
      <vt:lpstr>sstgoeffentl1jahr</vt:lpstr>
      <vt:lpstr>sstgoeffentlges</vt:lpstr>
      <vt:lpstr>Stdanzahl</vt:lpstr>
      <vt:lpstr>Stdpausch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Tnentgeltges</vt:lpstr>
      <vt:lpstr>tngebühren1jahr</vt:lpstr>
      <vt:lpstr>tngebührenges</vt:lpstr>
      <vt:lpstr>TNml</vt:lpstr>
      <vt:lpstr>TNnbinär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vorprojnr</vt:lpstr>
      <vt:lpstr>ZG</vt:lpstr>
      <vt:lpstr>ZGauswahl</vt:lpstr>
      <vt:lpstr>ZGliste</vt:lpstr>
      <vt:lpstr>Zielvorg</vt:lpstr>
      <vt:lpstr>Zielvorg.</vt:lpstr>
      <vt:lpstr>zuschussuntern1jahr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2025-07-03T08:42:07Z</cp:lastPrinted>
  <dcterms:created xsi:type="dcterms:W3CDTF">2002-06-03T13:07:44Z</dcterms:created>
  <dcterms:modified xsi:type="dcterms:W3CDTF">2025-07-07T13:24:54Z</dcterms:modified>
</cp:coreProperties>
</file>